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итул" sheetId="11" r:id="rId1"/>
    <sheet name="Н1_Д1" sheetId="1" r:id="rId2"/>
    <sheet name="Н1_Д2" sheetId="2" r:id="rId3"/>
    <sheet name="Н1_Д3" sheetId="3" r:id="rId4"/>
    <sheet name="Н1_Д4" sheetId="4" r:id="rId5"/>
    <sheet name="Н1_Д5" sheetId="5" r:id="rId6"/>
    <sheet name="Н2_Д1" sheetId="6" r:id="rId7"/>
    <sheet name="Н2_Д2" sheetId="7" r:id="rId8"/>
    <sheet name="Н2_Д3" sheetId="8" r:id="rId9"/>
    <sheet name="Н2_Д4" sheetId="9" r:id="rId10"/>
    <sheet name="Н2_Д5" sheetId="10" r:id="rId11"/>
  </sheets>
  <calcPr calcId="145621"/>
</workbook>
</file>

<file path=xl/calcChain.xml><?xml version="1.0" encoding="utf-8"?>
<calcChain xmlns="http://schemas.openxmlformats.org/spreadsheetml/2006/main">
  <c r="G8" i="3" l="1"/>
  <c r="F8" i="3"/>
  <c r="E8" i="3"/>
  <c r="D8" i="3"/>
  <c r="G8" i="4"/>
  <c r="F8" i="4"/>
  <c r="E8" i="4"/>
  <c r="D8" i="4"/>
  <c r="G7" i="2"/>
  <c r="F7" i="2"/>
  <c r="E7" i="2"/>
  <c r="D7" i="2"/>
  <c r="G6" i="8" l="1"/>
  <c r="F6" i="8"/>
  <c r="E6" i="8"/>
  <c r="D6" i="8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C10" i="10"/>
  <c r="D10" i="10"/>
  <c r="G8" i="9"/>
  <c r="F8" i="9"/>
  <c r="E8" i="9"/>
  <c r="D8" i="9"/>
  <c r="G10" i="9"/>
  <c r="F10" i="9"/>
  <c r="E10" i="9"/>
  <c r="D10" i="9"/>
  <c r="G7" i="9"/>
  <c r="F7" i="9"/>
  <c r="E7" i="9"/>
  <c r="D7" i="9"/>
  <c r="G6" i="9"/>
  <c r="F6" i="9"/>
  <c r="E6" i="9"/>
  <c r="D6" i="9"/>
  <c r="C11" i="9"/>
  <c r="G9" i="9"/>
  <c r="F9" i="9"/>
  <c r="E9" i="9"/>
  <c r="D9" i="9"/>
  <c r="F11" i="9"/>
  <c r="G8" i="8"/>
  <c r="F8" i="8"/>
  <c r="E8" i="8"/>
  <c r="D8" i="8"/>
  <c r="C9" i="8"/>
  <c r="G7" i="8"/>
  <c r="F7" i="8"/>
  <c r="E7" i="8"/>
  <c r="D7" i="8"/>
  <c r="G7" i="7"/>
  <c r="F7" i="7"/>
  <c r="E7" i="7"/>
  <c r="D7" i="7"/>
  <c r="G8" i="7"/>
  <c r="F8" i="7"/>
  <c r="E8" i="7"/>
  <c r="D8" i="7"/>
  <c r="G10" i="7"/>
  <c r="F10" i="7"/>
  <c r="E10" i="7"/>
  <c r="D10" i="7"/>
  <c r="G6" i="7"/>
  <c r="F6" i="7"/>
  <c r="E6" i="7"/>
  <c r="D6" i="7"/>
  <c r="C11" i="7"/>
  <c r="G9" i="7"/>
  <c r="F9" i="7"/>
  <c r="E9" i="7"/>
  <c r="D9" i="7"/>
  <c r="F11" i="7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C10" i="6"/>
  <c r="G10" i="5"/>
  <c r="F10" i="5"/>
  <c r="E10" i="5"/>
  <c r="D10" i="5"/>
  <c r="G9" i="5"/>
  <c r="F9" i="5"/>
  <c r="E9" i="5"/>
  <c r="D9" i="5"/>
  <c r="G8" i="5"/>
  <c r="F8" i="5"/>
  <c r="E8" i="5"/>
  <c r="D8" i="5"/>
  <c r="G6" i="5"/>
  <c r="F6" i="5"/>
  <c r="E6" i="5"/>
  <c r="D6" i="5"/>
  <c r="E7" i="5"/>
  <c r="G7" i="5"/>
  <c r="F7" i="5"/>
  <c r="D7" i="5"/>
  <c r="C11" i="5"/>
  <c r="G9" i="4"/>
  <c r="G7" i="4"/>
  <c r="F7" i="4"/>
  <c r="F10" i="4" s="1"/>
  <c r="E7" i="4"/>
  <c r="D7" i="4"/>
  <c r="G6" i="4"/>
  <c r="F6" i="4"/>
  <c r="E6" i="4"/>
  <c r="D6" i="4"/>
  <c r="C10" i="4"/>
  <c r="F9" i="4"/>
  <c r="E9" i="4"/>
  <c r="D9" i="4"/>
  <c r="G10" i="4"/>
  <c r="E10" i="4"/>
  <c r="G7" i="3"/>
  <c r="F7" i="3"/>
  <c r="E7" i="3"/>
  <c r="D7" i="3"/>
  <c r="G6" i="3"/>
  <c r="F6" i="3"/>
  <c r="E6" i="3"/>
  <c r="D6" i="3"/>
  <c r="C10" i="3"/>
  <c r="G9" i="3"/>
  <c r="F9" i="3"/>
  <c r="F10" i="3" s="1"/>
  <c r="E9" i="3"/>
  <c r="D9" i="3"/>
  <c r="G11" i="2"/>
  <c r="F11" i="2"/>
  <c r="E11" i="2"/>
  <c r="D11" i="2"/>
  <c r="G10" i="2"/>
  <c r="F10" i="2"/>
  <c r="E10" i="2"/>
  <c r="D10" i="2"/>
  <c r="G9" i="2"/>
  <c r="F9" i="2"/>
  <c r="E9" i="2"/>
  <c r="E12" i="2" s="1"/>
  <c r="D9" i="2"/>
  <c r="G8" i="2"/>
  <c r="F8" i="2"/>
  <c r="E8" i="2"/>
  <c r="D8" i="2"/>
  <c r="G6" i="2"/>
  <c r="G12" i="2" s="1"/>
  <c r="F6" i="2"/>
  <c r="E6" i="2"/>
  <c r="D6" i="2"/>
  <c r="C12" i="2"/>
  <c r="G9" i="1"/>
  <c r="E9" i="1"/>
  <c r="C9" i="1"/>
  <c r="G8" i="1"/>
  <c r="F8" i="1"/>
  <c r="E8" i="1"/>
  <c r="D8" i="1"/>
  <c r="G7" i="1"/>
  <c r="F7" i="1"/>
  <c r="E7" i="1"/>
  <c r="D7" i="1"/>
  <c r="G6" i="1"/>
  <c r="F6" i="1"/>
  <c r="F9" i="1" s="1"/>
  <c r="E6" i="1"/>
  <c r="D6" i="1"/>
  <c r="D9" i="1" s="1"/>
  <c r="G11" i="9" l="1"/>
  <c r="D11" i="9"/>
  <c r="G9" i="8"/>
  <c r="D10" i="4"/>
  <c r="F10" i="10"/>
  <c r="G10" i="10"/>
  <c r="E10" i="10"/>
  <c r="E11" i="9"/>
  <c r="D9" i="8"/>
  <c r="E9" i="8"/>
  <c r="F9" i="8"/>
  <c r="D11" i="7"/>
  <c r="G11" i="7"/>
  <c r="E11" i="7"/>
  <c r="G10" i="6"/>
  <c r="D10" i="6"/>
  <c r="E10" i="6"/>
  <c r="F10" i="6"/>
  <c r="E11" i="5"/>
  <c r="F11" i="5"/>
  <c r="G11" i="5"/>
  <c r="D11" i="5"/>
  <c r="G10" i="3"/>
  <c r="E10" i="3"/>
  <c r="D10" i="3"/>
  <c r="D12" i="2"/>
  <c r="F12" i="2"/>
</calcChain>
</file>

<file path=xl/sharedStrings.xml><?xml version="1.0" encoding="utf-8"?>
<sst xmlns="http://schemas.openxmlformats.org/spreadsheetml/2006/main" count="208" uniqueCount="72">
  <si>
    <t>Прием пищи</t>
  </si>
  <si>
    <t>Наименование блюда</t>
  </si>
  <si>
    <t>Масса, г</t>
  </si>
  <si>
    <t>Белки, г</t>
  </si>
  <si>
    <t>Жиры, г</t>
  </si>
  <si>
    <t>Углеводы, г</t>
  </si>
  <si>
    <t>Энергетическая ценность, ккал</t>
  </si>
  <si>
    <t>№ рецептуры</t>
  </si>
  <si>
    <t>Неделя Первая</t>
  </si>
  <si>
    <t>День первый</t>
  </si>
  <si>
    <t>Каша вязкая геркулесовая
с маслом</t>
  </si>
  <si>
    <t>Сок фруктовый</t>
  </si>
  <si>
    <t>Сдоба «Выборская»</t>
  </si>
  <si>
    <t>Итого за завтрак:</t>
  </si>
  <si>
    <t>завтрак</t>
  </si>
  <si>
    <t>Котлеты (биточки) мясные</t>
  </si>
  <si>
    <t>Чай с сахаром</t>
  </si>
  <si>
    <t>Хлеб пеклеванный</t>
  </si>
  <si>
    <t>Батон «Нарезной»</t>
  </si>
  <si>
    <t>Рецепт № 658</t>
  </si>
  <si>
    <t>-</t>
  </si>
  <si>
    <t>ПО "Духовщинахлеб"</t>
  </si>
  <si>
    <t>Рецепт № 1009</t>
  </si>
  <si>
    <t>Рецепт № 221</t>
  </si>
  <si>
    <t>День второй</t>
  </si>
  <si>
    <t>Каша гречневая вязкая (гарнирная)</t>
  </si>
  <si>
    <t>Рецепт № 746</t>
  </si>
  <si>
    <t>Котлета "Здоровье"</t>
  </si>
  <si>
    <t>Рецепт № 163</t>
  </si>
  <si>
    <t>Огурец свежий порционный</t>
  </si>
  <si>
    <t>Рецепт № 12</t>
  </si>
  <si>
    <t>Пюре картофельное (гарнирное)</t>
  </si>
  <si>
    <t>Рецепт № 759</t>
  </si>
  <si>
    <t>День третий</t>
  </si>
  <si>
    <t>Котлета рыбная "Фантазия"</t>
  </si>
  <si>
    <t>Плов из свинины</t>
  </si>
  <si>
    <t>Рецепт № 642</t>
  </si>
  <si>
    <t>Чай с сахаром и лимоном</t>
  </si>
  <si>
    <t>Рецепт № 434</t>
  </si>
  <si>
    <t>Каша молочная (вязкая) рисовая с маслом сливочным</t>
  </si>
  <si>
    <t>Рецепт № 411</t>
  </si>
  <si>
    <t>Сыр порционный</t>
  </si>
  <si>
    <t>Рецепт № 80</t>
  </si>
  <si>
    <t>Булка "Городская"</t>
  </si>
  <si>
    <t>Кофейный напиток с молоком</t>
  </si>
  <si>
    <t>Компот из изюма</t>
  </si>
  <si>
    <t>Рецепт № 932</t>
  </si>
  <si>
    <t>День четвертый</t>
  </si>
  <si>
    <t>День пятый</t>
  </si>
  <si>
    <t>Пюре гороховое с маслом</t>
  </si>
  <si>
    <t>Рецепт № б/н</t>
  </si>
  <si>
    <t>Компот из свежих яблок</t>
  </si>
  <si>
    <t>Рецепт № 394</t>
  </si>
  <si>
    <t>Пряник</t>
  </si>
  <si>
    <t>Рецепт № 12,17</t>
  </si>
  <si>
    <t>Неделя Вторая</t>
  </si>
  <si>
    <t>Макароны отварные с сыром и маслом сливочным</t>
  </si>
  <si>
    <t>Рецепт № 444</t>
  </si>
  <si>
    <t>Фрукт</t>
  </si>
  <si>
    <t>Тефтели 2 вариант</t>
  </si>
  <si>
    <t>Рецепт № 669</t>
  </si>
  <si>
    <t>Соус красный основной</t>
  </si>
  <si>
    <t>Рецепт № 824</t>
  </si>
  <si>
    <t>Салат из белокочанной капусты свежей</t>
  </si>
  <si>
    <t>Каша молочная (вязкая) пшенная с маслом сливочным</t>
  </si>
  <si>
    <t>Рецепт № 323</t>
  </si>
  <si>
    <t>Йогурт</t>
  </si>
  <si>
    <t xml:space="preserve">Муниципальное бюджетное общеобразовательное учреждение
Озерненская средняя школа
(МБОУ Озерненская СШ)
</t>
  </si>
  <si>
    <t xml:space="preserve">ПРИМЕРНОЕ ДВУХНЕДЕЛЬНОЕ МЕНЮ
ВОЗРАСТНАЯ КАТЕГОРИЯ: 7-11 лет
</t>
  </si>
  <si>
    <t>Масло сливочное</t>
  </si>
  <si>
    <t>Рецепт № 9</t>
  </si>
  <si>
    <t>Рецепт № 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</si>
</sst>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selection activeCell="M8" sqref="M8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12" x14ac:dyDescent="0.25">
      <c r="I2" s="35"/>
      <c r="J2" s="35"/>
      <c r="K2" s="35"/>
      <c r="L2" s="35"/>
    </row>
    <row r="3" spans="1:12" ht="15.75" x14ac:dyDescent="0.25">
      <c r="A3" s="18"/>
      <c r="B3" s="18"/>
      <c r="C3" s="18"/>
      <c r="D3" s="18"/>
      <c r="E3" s="18"/>
      <c r="F3" s="18"/>
      <c r="G3" s="18"/>
      <c r="H3" s="18"/>
      <c r="I3" s="35"/>
      <c r="J3" s="35"/>
      <c r="K3" s="35"/>
      <c r="L3" s="35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35"/>
      <c r="J4" s="35"/>
      <c r="K4" s="35"/>
      <c r="L4" s="35"/>
    </row>
    <row r="5" spans="1:12" ht="31.5" customHeight="1" x14ac:dyDescent="0.25">
      <c r="A5" s="38" t="s">
        <v>67</v>
      </c>
      <c r="B5" s="39"/>
      <c r="C5" s="39"/>
      <c r="D5" s="39"/>
      <c r="E5" s="39"/>
      <c r="F5" s="39"/>
      <c r="G5" s="39"/>
      <c r="H5" s="39"/>
      <c r="I5" s="35"/>
      <c r="J5" s="35"/>
      <c r="K5" s="35"/>
      <c r="L5" s="35"/>
    </row>
    <row r="6" spans="1:12" ht="31.5" customHeight="1" x14ac:dyDescent="0.25">
      <c r="A6" s="28"/>
      <c r="B6" s="29"/>
      <c r="C6" s="29"/>
      <c r="D6" s="29"/>
      <c r="E6" s="29"/>
      <c r="F6" s="29"/>
      <c r="G6" s="29"/>
      <c r="H6" s="29"/>
      <c r="I6" s="35"/>
      <c r="J6" s="35"/>
      <c r="K6" s="35"/>
      <c r="L6" s="35"/>
    </row>
    <row r="7" spans="1:12" ht="31.5" customHeight="1" x14ac:dyDescent="0.25">
      <c r="A7" s="40" t="s">
        <v>68</v>
      </c>
      <c r="B7" s="37"/>
      <c r="C7" s="37"/>
      <c r="D7" s="37"/>
      <c r="E7" s="37"/>
      <c r="F7" s="37"/>
      <c r="G7" s="37"/>
      <c r="H7" s="37"/>
      <c r="I7" s="35"/>
      <c r="J7" s="35"/>
      <c r="K7" s="35"/>
      <c r="L7" s="35"/>
    </row>
    <row r="8" spans="1:12" ht="31.5" customHeight="1" x14ac:dyDescent="0.25">
      <c r="A8" s="37"/>
      <c r="B8" s="37"/>
      <c r="C8" s="37"/>
      <c r="D8" s="37"/>
      <c r="E8" s="37"/>
      <c r="F8" s="37"/>
      <c r="G8" s="37"/>
      <c r="H8" s="37"/>
    </row>
    <row r="9" spans="1:12" ht="31.5" customHeight="1" x14ac:dyDescent="0.25">
      <c r="A9" s="37"/>
      <c r="B9" s="37"/>
      <c r="C9" s="37"/>
      <c r="D9" s="37"/>
      <c r="E9" s="37"/>
      <c r="F9" s="37"/>
      <c r="G9" s="37"/>
      <c r="H9" s="37"/>
    </row>
    <row r="10" spans="1:12" ht="31.5" customHeight="1" x14ac:dyDescent="0.25">
      <c r="A10" s="36"/>
      <c r="B10" s="36"/>
      <c r="C10" s="24"/>
      <c r="D10" s="24"/>
      <c r="E10" s="24"/>
      <c r="F10" s="24"/>
      <c r="G10" s="24"/>
      <c r="H10" s="25"/>
    </row>
    <row r="11" spans="1:12" ht="31.5" customHeight="1" x14ac:dyDescent="0.25">
      <c r="A11" s="37"/>
      <c r="B11" s="20"/>
      <c r="C11" s="21"/>
      <c r="D11" s="22"/>
      <c r="E11" s="22"/>
      <c r="F11" s="22"/>
      <c r="G11" s="22"/>
      <c r="H11" s="21"/>
    </row>
    <row r="12" spans="1:12" ht="31.5" customHeight="1" x14ac:dyDescent="0.25">
      <c r="A12" s="37"/>
      <c r="B12" s="23"/>
      <c r="C12" s="21"/>
      <c r="D12" s="22"/>
      <c r="E12" s="22"/>
      <c r="F12" s="22"/>
      <c r="G12" s="22"/>
      <c r="H12" s="21"/>
    </row>
    <row r="13" spans="1:12" ht="31.5" customHeight="1" x14ac:dyDescent="0.25">
      <c r="A13" s="37"/>
      <c r="B13" s="26"/>
      <c r="C13" s="21"/>
      <c r="D13" s="22"/>
      <c r="E13" s="22"/>
      <c r="F13" s="22"/>
      <c r="G13" s="22"/>
      <c r="H13" s="21"/>
    </row>
    <row r="14" spans="1:12" ht="31.5" customHeight="1" x14ac:dyDescent="0.25">
      <c r="A14" s="37"/>
      <c r="B14" s="23"/>
      <c r="C14" s="21"/>
      <c r="D14" s="22"/>
      <c r="E14" s="22"/>
      <c r="F14" s="22"/>
      <c r="G14" s="22"/>
      <c r="H14" s="21"/>
    </row>
    <row r="15" spans="1:12" ht="31.5" customHeight="1" x14ac:dyDescent="0.25">
      <c r="A15" s="37"/>
      <c r="B15" s="23"/>
      <c r="C15" s="21"/>
      <c r="D15" s="22"/>
      <c r="E15" s="22"/>
      <c r="F15" s="22"/>
      <c r="G15" s="22"/>
      <c r="H15" s="21"/>
    </row>
    <row r="16" spans="1:12" ht="31.5" customHeight="1" x14ac:dyDescent="0.25">
      <c r="A16" s="37"/>
      <c r="B16" s="23"/>
      <c r="C16" s="21"/>
      <c r="D16" s="22"/>
      <c r="E16" s="22"/>
      <c r="F16" s="22"/>
      <c r="G16" s="22"/>
      <c r="H16" s="21"/>
    </row>
    <row r="17" spans="1:8" ht="15.75" x14ac:dyDescent="0.25">
      <c r="A17" s="37"/>
      <c r="B17" s="23"/>
      <c r="C17" s="21"/>
      <c r="D17" s="22"/>
      <c r="E17" s="22"/>
      <c r="F17" s="22"/>
      <c r="G17" s="22"/>
      <c r="H17" s="21"/>
    </row>
    <row r="18" spans="1:8" ht="31.5" customHeight="1" x14ac:dyDescent="0.25">
      <c r="A18" s="36"/>
      <c r="B18" s="36"/>
      <c r="C18" s="24"/>
      <c r="D18" s="24"/>
      <c r="E18" s="24"/>
      <c r="F18" s="24"/>
      <c r="G18" s="24"/>
      <c r="H18" s="27"/>
    </row>
    <row r="19" spans="1:8" ht="31.5" customHeight="1" x14ac:dyDescent="0.25">
      <c r="A19" s="36"/>
      <c r="B19" s="36"/>
      <c r="C19" s="24"/>
      <c r="D19" s="24"/>
      <c r="E19" s="24"/>
      <c r="F19" s="24"/>
      <c r="G19" s="24"/>
      <c r="H19" s="27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mergeCells count="7">
    <mergeCell ref="I2:L7"/>
    <mergeCell ref="A10:B10"/>
    <mergeCell ref="A11:A17"/>
    <mergeCell ref="A18:B18"/>
    <mergeCell ref="A19:B19"/>
    <mergeCell ref="A5:H5"/>
    <mergeCell ref="A7:H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C9" sqref="C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47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5" t="s">
        <v>15</v>
      </c>
      <c r="C6" s="3">
        <v>100</v>
      </c>
      <c r="D6" s="4">
        <f>$C6*7.85/100</f>
        <v>7.85</v>
      </c>
      <c r="E6" s="4">
        <f>$C6*6.51/100</f>
        <v>6.51</v>
      </c>
      <c r="F6" s="4">
        <f>$C6*7.89/100</f>
        <v>7.89</v>
      </c>
      <c r="G6" s="4">
        <f>$C6*123/100</f>
        <v>123</v>
      </c>
      <c r="H6" s="15" t="s">
        <v>23</v>
      </c>
    </row>
    <row r="7" spans="1:8" ht="31.5" customHeight="1" x14ac:dyDescent="0.25">
      <c r="A7" s="43"/>
      <c r="B7" s="5" t="s">
        <v>31</v>
      </c>
      <c r="C7" s="3">
        <v>150</v>
      </c>
      <c r="D7" s="4">
        <f>$C7*2.16/100</f>
        <v>3.24</v>
      </c>
      <c r="E7" s="4">
        <f>$C7*3.73/100</f>
        <v>5.5949999999999998</v>
      </c>
      <c r="F7" s="4">
        <f>$C7*14.7/100</f>
        <v>22.05</v>
      </c>
      <c r="G7" s="4">
        <f>$C7*104/100</f>
        <v>156</v>
      </c>
      <c r="H7" s="15" t="s">
        <v>32</v>
      </c>
    </row>
    <row r="8" spans="1:8" ht="31.5" customHeight="1" x14ac:dyDescent="0.25">
      <c r="A8" s="43"/>
      <c r="B8" s="2" t="s">
        <v>63</v>
      </c>
      <c r="C8" s="3">
        <v>60</v>
      </c>
      <c r="D8" s="4">
        <f>$C8*0.92/100</f>
        <v>0.55200000000000005</v>
      </c>
      <c r="E8" s="4">
        <f>$C8*3.04/100</f>
        <v>1.8240000000000001</v>
      </c>
      <c r="F8" s="4">
        <f>$C8*5.42/100</f>
        <v>3.2519999999999998</v>
      </c>
      <c r="G8" s="4">
        <f>$C8*52/100</f>
        <v>31.2</v>
      </c>
      <c r="H8" s="15" t="s">
        <v>32</v>
      </c>
    </row>
    <row r="9" spans="1:8" ht="31.5" customHeight="1" x14ac:dyDescent="0.25">
      <c r="A9" s="43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43"/>
      <c r="B10" s="5" t="s">
        <v>45</v>
      </c>
      <c r="C10" s="3">
        <v>200</v>
      </c>
      <c r="D10" s="4">
        <f>$C10*0.41/100</f>
        <v>0.82</v>
      </c>
      <c r="E10" s="4">
        <f>$C10*0/100</f>
        <v>0</v>
      </c>
      <c r="F10" s="4">
        <f>$C10*25.16/100</f>
        <v>50.32</v>
      </c>
      <c r="G10" s="4">
        <f>$C10*98/100</f>
        <v>196</v>
      </c>
      <c r="H10" s="15" t="s">
        <v>46</v>
      </c>
    </row>
    <row r="11" spans="1:8" ht="31.5" customHeight="1" x14ac:dyDescent="0.25">
      <c r="A11" s="44" t="s">
        <v>13</v>
      </c>
      <c r="B11" s="45"/>
      <c r="C11" s="6">
        <f>SUM(C6:C10)</f>
        <v>550</v>
      </c>
      <c r="D11" s="46">
        <f>SUM(D6:D10)</f>
        <v>14.622</v>
      </c>
      <c r="E11" s="46">
        <f>SUM(E6:E10)</f>
        <v>14.329000000000001</v>
      </c>
      <c r="F11" s="46">
        <f>SUM(F6:F10)</f>
        <v>101.352</v>
      </c>
      <c r="G11" s="46">
        <f>SUM(G6:G10)</f>
        <v>591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H18" sqref="H18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48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2" t="s">
        <v>64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65</v>
      </c>
    </row>
    <row r="7" spans="1:8" ht="31.5" customHeight="1" x14ac:dyDescent="0.25">
      <c r="A7" s="43"/>
      <c r="B7" s="5" t="s">
        <v>37</v>
      </c>
      <c r="C7" s="3">
        <v>222</v>
      </c>
      <c r="D7" s="4">
        <f>$C7*0.26/100</f>
        <v>0.57719999999999994</v>
      </c>
      <c r="E7" s="4">
        <f>$C7*0.05/100</f>
        <v>0.11100000000000002</v>
      </c>
      <c r="F7" s="4">
        <f>$C7*15.22/100</f>
        <v>33.788400000000003</v>
      </c>
      <c r="G7" s="4">
        <f>$C7*59/100</f>
        <v>130.97999999999999</v>
      </c>
      <c r="H7" s="15" t="s">
        <v>38</v>
      </c>
    </row>
    <row r="8" spans="1:8" ht="31.5" customHeight="1" x14ac:dyDescent="0.25">
      <c r="A8" s="43"/>
      <c r="B8" s="5" t="s">
        <v>18</v>
      </c>
      <c r="C8" s="3">
        <v>20</v>
      </c>
      <c r="D8" s="4">
        <f>$C8*7.5/100</f>
        <v>1.5</v>
      </c>
      <c r="E8" s="4">
        <f>$C8*2.9/100</f>
        <v>0.57999999999999996</v>
      </c>
      <c r="F8" s="4">
        <f>$C8*50.7/100</f>
        <v>10.14</v>
      </c>
      <c r="G8" s="4">
        <f>$C8*264/100</f>
        <v>52.8</v>
      </c>
      <c r="H8" s="15" t="s">
        <v>21</v>
      </c>
    </row>
    <row r="9" spans="1:8" ht="31.5" customHeight="1" x14ac:dyDescent="0.25">
      <c r="A9" s="43"/>
      <c r="B9" s="5" t="s">
        <v>66</v>
      </c>
      <c r="C9" s="3">
        <v>95</v>
      </c>
      <c r="D9" s="4">
        <f>$C9*2.4/100</f>
        <v>2.2799999999999998</v>
      </c>
      <c r="E9" s="4">
        <f>$C9*1.14/100</f>
        <v>1.083</v>
      </c>
      <c r="F9" s="4">
        <f>$C9*15.2/100</f>
        <v>14.44</v>
      </c>
      <c r="G9" s="4">
        <f>$C9*80.75/100</f>
        <v>76.712500000000006</v>
      </c>
      <c r="H9" s="15" t="s">
        <v>20</v>
      </c>
    </row>
    <row r="10" spans="1:8" ht="31.5" customHeight="1" x14ac:dyDescent="0.25">
      <c r="A10" s="44" t="s">
        <v>13</v>
      </c>
      <c r="B10" s="45"/>
      <c r="C10" s="6">
        <f>SUM(C6:C9)</f>
        <v>547</v>
      </c>
      <c r="D10" s="46">
        <f>SUM(D6:D9)</f>
        <v>12.946199999999999</v>
      </c>
      <c r="E10" s="46">
        <f>SUM(E6:E9)</f>
        <v>15.214</v>
      </c>
      <c r="F10" s="46">
        <f>SUM(F6:F9)</f>
        <v>102.95139999999999</v>
      </c>
      <c r="G10" s="46">
        <f>SUM(G6:G9)</f>
        <v>594.39249999999993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workbookViewId="0">
      <selection activeCell="D9" sqref="D9:G9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9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2" t="s">
        <v>10</v>
      </c>
      <c r="C6" s="11">
        <v>210</v>
      </c>
      <c r="D6" s="4">
        <f>$C$6*3.7/100</f>
        <v>7.77</v>
      </c>
      <c r="E6" s="4">
        <f>$C$6*6.97/100</f>
        <v>14.637</v>
      </c>
      <c r="F6" s="4">
        <f>$C$6*15.98/100</f>
        <v>33.558</v>
      </c>
      <c r="G6" s="4">
        <f>$C$6*142/100</f>
        <v>298.2</v>
      </c>
      <c r="H6" s="15" t="s">
        <v>19</v>
      </c>
    </row>
    <row r="7" spans="1:8" ht="31.5" customHeight="1" x14ac:dyDescent="0.25">
      <c r="A7" s="43"/>
      <c r="B7" s="5" t="s">
        <v>11</v>
      </c>
      <c r="C7" s="11">
        <v>200</v>
      </c>
      <c r="D7" s="4">
        <f>$C$7*0/100</f>
        <v>0</v>
      </c>
      <c r="E7" s="4">
        <f>$C$7*0/100</f>
        <v>0</v>
      </c>
      <c r="F7" s="4">
        <f>$C$7*11.2/100</f>
        <v>22.4</v>
      </c>
      <c r="G7" s="4">
        <f>$C$7*45/100</f>
        <v>90</v>
      </c>
      <c r="H7" s="15" t="s">
        <v>20</v>
      </c>
    </row>
    <row r="8" spans="1:8" ht="31.5" customHeight="1" x14ac:dyDescent="0.25">
      <c r="A8" s="43"/>
      <c r="B8" s="5" t="s">
        <v>12</v>
      </c>
      <c r="C8" s="11">
        <v>100</v>
      </c>
      <c r="D8" s="4">
        <f>$C$8*6.5/100</f>
        <v>6.5</v>
      </c>
      <c r="E8" s="4">
        <f>$C$8*4.2/100</f>
        <v>4.2</v>
      </c>
      <c r="F8" s="4">
        <f>$C$8*37.6/100</f>
        <v>37.6</v>
      </c>
      <c r="G8" s="4">
        <f>$C$8*293/100</f>
        <v>293</v>
      </c>
      <c r="H8" s="15" t="s">
        <v>21</v>
      </c>
    </row>
    <row r="9" spans="1:8" ht="31.5" customHeight="1" x14ac:dyDescent="0.25">
      <c r="A9" s="44" t="s">
        <v>13</v>
      </c>
      <c r="B9" s="45"/>
      <c r="C9" s="6">
        <f>SUM(C6:C8)</f>
        <v>510</v>
      </c>
      <c r="D9" s="46">
        <f>SUM(D6:D8)</f>
        <v>14.27</v>
      </c>
      <c r="E9" s="46">
        <f>SUM(E6:E8)</f>
        <v>18.837</v>
      </c>
      <c r="F9" s="46">
        <f>SUM(F6:F8)</f>
        <v>93.557999999999993</v>
      </c>
      <c r="G9" s="46">
        <f>SUM(G6:G8)</f>
        <v>681.2</v>
      </c>
      <c r="H9" s="16"/>
    </row>
    <row r="10" spans="1:8" ht="16.5" thickBot="1" x14ac:dyDescent="0.3">
      <c r="A10" s="32"/>
      <c r="B10" s="33"/>
      <c r="C10" s="33"/>
      <c r="D10" s="33"/>
      <c r="E10" s="33"/>
      <c r="F10" s="33"/>
      <c r="G10" s="33"/>
      <c r="H10" s="34"/>
    </row>
  </sheetData>
  <mergeCells count="3">
    <mergeCell ref="C5:H5"/>
    <mergeCell ref="A6:A8"/>
    <mergeCell ref="A9:B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showGridLines="0" workbookViewId="0">
      <selection activeCell="D12" sqref="D12:G12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24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2" t="s">
        <v>25</v>
      </c>
      <c r="C6" s="3">
        <v>150</v>
      </c>
      <c r="D6" s="4">
        <f>$C$6*12.58/100</f>
        <v>18.87</v>
      </c>
      <c r="E6" s="4">
        <f>$C$6*30.24/100</f>
        <v>45.36</v>
      </c>
      <c r="F6" s="4">
        <f>$C$6*56.14/100</f>
        <v>84.21</v>
      </c>
      <c r="G6" s="4">
        <f>$C$6*148.5/100</f>
        <v>222.75</v>
      </c>
      <c r="H6" s="15" t="s">
        <v>26</v>
      </c>
    </row>
    <row r="7" spans="1:8" ht="31.5" customHeight="1" x14ac:dyDescent="0.25">
      <c r="A7" s="43"/>
      <c r="B7" s="17" t="s">
        <v>69</v>
      </c>
      <c r="C7" s="30">
        <v>5</v>
      </c>
      <c r="D7" s="4">
        <f>$C7*0.5/100</f>
        <v>2.5000000000000001E-2</v>
      </c>
      <c r="E7" s="4">
        <f>$C7*82.5/100</f>
        <v>4.125</v>
      </c>
      <c r="F7" s="4">
        <f>$C7*0.8/100</f>
        <v>0.04</v>
      </c>
      <c r="G7" s="4">
        <f>$C7*748/100</f>
        <v>37.4</v>
      </c>
      <c r="H7" s="31" t="s">
        <v>70</v>
      </c>
    </row>
    <row r="8" spans="1:8" ht="31.5" customHeight="1" x14ac:dyDescent="0.25">
      <c r="A8" s="43"/>
      <c r="B8" s="2" t="s">
        <v>27</v>
      </c>
      <c r="C8" s="3">
        <v>100</v>
      </c>
      <c r="D8" s="4">
        <f>$C$8*7.98/100</f>
        <v>7.98</v>
      </c>
      <c r="E8" s="4">
        <f>$C$8*6.93/100</f>
        <v>6.93</v>
      </c>
      <c r="F8" s="4">
        <f>$C$8*4.47/100</f>
        <v>4.47</v>
      </c>
      <c r="G8" s="4">
        <f>$C$8*113/100</f>
        <v>113</v>
      </c>
      <c r="H8" s="15" t="s">
        <v>28</v>
      </c>
    </row>
    <row r="9" spans="1:8" ht="31.5" customHeight="1" x14ac:dyDescent="0.25">
      <c r="A9" s="43"/>
      <c r="B9" s="2" t="s">
        <v>29</v>
      </c>
      <c r="C9" s="3">
        <v>60</v>
      </c>
      <c r="D9" s="4">
        <f>$C$9*0.4/100</f>
        <v>0.24</v>
      </c>
      <c r="E9" s="4">
        <f>$C$9*0.05/100</f>
        <v>0.03</v>
      </c>
      <c r="F9" s="4">
        <f>$C$9*1.3/100</f>
        <v>0.78</v>
      </c>
      <c r="G9" s="4">
        <f>$C$9*7/100</f>
        <v>4.2</v>
      </c>
      <c r="H9" s="15" t="s">
        <v>30</v>
      </c>
    </row>
    <row r="10" spans="1:8" ht="31.5" customHeight="1" x14ac:dyDescent="0.25">
      <c r="A10" s="43"/>
      <c r="B10" s="5" t="s">
        <v>16</v>
      </c>
      <c r="C10" s="3">
        <v>215</v>
      </c>
      <c r="D10" s="4">
        <f>$C$10*0.2/100</f>
        <v>0.43</v>
      </c>
      <c r="E10" s="4">
        <f>$C$10*0.05/100</f>
        <v>0.1075</v>
      </c>
      <c r="F10" s="4">
        <f>$C$10*15.01/100</f>
        <v>32.271500000000003</v>
      </c>
      <c r="G10" s="4">
        <f>$C$10*57/100</f>
        <v>122.55</v>
      </c>
      <c r="H10" s="15" t="s">
        <v>22</v>
      </c>
    </row>
    <row r="11" spans="1:8" ht="31.5" customHeight="1" x14ac:dyDescent="0.25">
      <c r="A11" s="43"/>
      <c r="B11" s="5" t="s">
        <v>17</v>
      </c>
      <c r="C11" s="3">
        <v>40</v>
      </c>
      <c r="D11" s="4">
        <f>$C11*7.5/100</f>
        <v>3</v>
      </c>
      <c r="E11" s="4">
        <f>$C11*2.9/100</f>
        <v>1.1599999999999999</v>
      </c>
      <c r="F11" s="4">
        <f>$C11*50.7/100</f>
        <v>20.28</v>
      </c>
      <c r="G11" s="4">
        <f>$C11*264/100</f>
        <v>105.6</v>
      </c>
      <c r="H11" s="15" t="s">
        <v>21</v>
      </c>
    </row>
    <row r="12" spans="1:8" ht="31.5" customHeight="1" x14ac:dyDescent="0.25">
      <c r="A12" s="44" t="s">
        <v>13</v>
      </c>
      <c r="B12" s="45"/>
      <c r="C12" s="6">
        <f>SUM(C6:C11)</f>
        <v>570</v>
      </c>
      <c r="D12" s="46">
        <f>SUM(D6:D11)</f>
        <v>30.544999999999998</v>
      </c>
      <c r="E12" s="46">
        <f>SUM(E6:E11)</f>
        <v>57.712499999999999</v>
      </c>
      <c r="F12" s="46">
        <f>SUM(F6:F11)</f>
        <v>142.0515</v>
      </c>
      <c r="G12" s="46">
        <f>SUM(G6:G11)</f>
        <v>605.5</v>
      </c>
      <c r="H12" s="16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C5:H5"/>
    <mergeCell ref="A6:A1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D10" sqref="D10:G10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33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5" t="s">
        <v>31</v>
      </c>
      <c r="C6" s="3">
        <v>200</v>
      </c>
      <c r="D6" s="4">
        <f>$C6*2.16/100</f>
        <v>4.32</v>
      </c>
      <c r="E6" s="4">
        <f>$C6*3.73/100</f>
        <v>7.46</v>
      </c>
      <c r="F6" s="4">
        <f>$C6*14.7/100</f>
        <v>29.4</v>
      </c>
      <c r="G6" s="4">
        <f>$C6*104/100</f>
        <v>208</v>
      </c>
      <c r="H6" s="15" t="s">
        <v>32</v>
      </c>
    </row>
    <row r="7" spans="1:8" ht="31.5" customHeight="1" x14ac:dyDescent="0.25">
      <c r="A7" s="43"/>
      <c r="B7" s="2" t="s">
        <v>34</v>
      </c>
      <c r="C7" s="3">
        <v>100</v>
      </c>
      <c r="D7" s="4">
        <f>$C$7*16.79/100</f>
        <v>16.79</v>
      </c>
      <c r="E7" s="4">
        <f>$C$7*10.93/100</f>
        <v>10.93</v>
      </c>
      <c r="F7" s="4">
        <f>$C$7*5.64/100</f>
        <v>5.64</v>
      </c>
      <c r="G7" s="4">
        <f>$C$7*188/100</f>
        <v>188</v>
      </c>
      <c r="H7" s="15" t="s">
        <v>28</v>
      </c>
    </row>
    <row r="8" spans="1:8" ht="31.5" customHeight="1" x14ac:dyDescent="0.25">
      <c r="A8" s="43"/>
      <c r="B8" s="5" t="s">
        <v>16</v>
      </c>
      <c r="C8" s="30">
        <v>215</v>
      </c>
      <c r="D8" s="4">
        <f>$C8*0.2/100</f>
        <v>0.43</v>
      </c>
      <c r="E8" s="4">
        <f>$C8*0.05/100</f>
        <v>0.1075</v>
      </c>
      <c r="F8" s="4">
        <f>$C8*15.01/100</f>
        <v>32.271500000000003</v>
      </c>
      <c r="G8" s="4">
        <f>$C8*57/100</f>
        <v>122.55</v>
      </c>
      <c r="H8" s="31" t="s">
        <v>22</v>
      </c>
    </row>
    <row r="9" spans="1:8" ht="31.5" customHeight="1" x14ac:dyDescent="0.25">
      <c r="A9" s="43"/>
      <c r="B9" s="5" t="s">
        <v>17</v>
      </c>
      <c r="C9" s="3">
        <v>40</v>
      </c>
      <c r="D9" s="4">
        <f>$C9*7.5/100</f>
        <v>3</v>
      </c>
      <c r="E9" s="4">
        <f>$C9*2.9/100</f>
        <v>1.1599999999999999</v>
      </c>
      <c r="F9" s="4">
        <f>$C9*50.7/100</f>
        <v>20.28</v>
      </c>
      <c r="G9" s="4">
        <f>$C9*264/100</f>
        <v>105.6</v>
      </c>
      <c r="H9" s="15" t="s">
        <v>21</v>
      </c>
    </row>
    <row r="10" spans="1:8" ht="31.5" customHeight="1" x14ac:dyDescent="0.25">
      <c r="A10" s="44" t="s">
        <v>13</v>
      </c>
      <c r="B10" s="45"/>
      <c r="C10" s="6">
        <f>SUM(C6:C9)</f>
        <v>555</v>
      </c>
      <c r="D10" s="46">
        <f>SUM(D6:D9)</f>
        <v>24.54</v>
      </c>
      <c r="E10" s="46">
        <f>SUM(E6:E9)</f>
        <v>19.657500000000002</v>
      </c>
      <c r="F10" s="46">
        <f>SUM(F6:F9)</f>
        <v>87.591499999999996</v>
      </c>
      <c r="G10" s="46">
        <f>SUM(G6:G9)</f>
        <v>624.15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D10" sqref="D10:G10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47</v>
      </c>
      <c r="C5" s="41"/>
      <c r="D5" s="41"/>
      <c r="E5" s="41"/>
      <c r="F5" s="41"/>
      <c r="G5" s="41"/>
      <c r="H5" s="42"/>
    </row>
    <row r="6" spans="1:8" ht="38.25" customHeight="1" x14ac:dyDescent="0.25">
      <c r="A6" s="43" t="s">
        <v>14</v>
      </c>
      <c r="B6" s="2" t="s">
        <v>39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40</v>
      </c>
    </row>
    <row r="7" spans="1:8" ht="31.5" customHeight="1" x14ac:dyDescent="0.25">
      <c r="A7" s="43"/>
      <c r="B7" s="2" t="s">
        <v>41</v>
      </c>
      <c r="C7" s="3">
        <v>40</v>
      </c>
      <c r="D7" s="4">
        <f>$C$7*6.9/100</f>
        <v>2.76</v>
      </c>
      <c r="E7" s="4">
        <f>$C$7*8.7/100</f>
        <v>3.48</v>
      </c>
      <c r="F7" s="4">
        <f>$C$7*0/100</f>
        <v>0</v>
      </c>
      <c r="G7" s="4">
        <f>$C$7*363/100</f>
        <v>145.19999999999999</v>
      </c>
      <c r="H7" s="15" t="s">
        <v>42</v>
      </c>
    </row>
    <row r="8" spans="1:8" ht="31.5" customHeight="1" x14ac:dyDescent="0.25">
      <c r="A8" s="43"/>
      <c r="B8" s="5" t="s">
        <v>44</v>
      </c>
      <c r="C8" s="30">
        <v>200</v>
      </c>
      <c r="D8" s="4">
        <f>$C$8*1.4/100</f>
        <v>2.8</v>
      </c>
      <c r="E8" s="4">
        <f>$C$8*1.6/100</f>
        <v>3.2</v>
      </c>
      <c r="F8" s="4">
        <f>$C$8*22.31/100</f>
        <v>44.62</v>
      </c>
      <c r="G8" s="4">
        <f>$C$8*105/100</f>
        <v>210</v>
      </c>
      <c r="H8" s="31" t="s">
        <v>71</v>
      </c>
    </row>
    <row r="9" spans="1:8" ht="31.5" customHeight="1" x14ac:dyDescent="0.25">
      <c r="A9" s="43"/>
      <c r="B9" s="5" t="s">
        <v>43</v>
      </c>
      <c r="C9" s="3">
        <v>50</v>
      </c>
      <c r="D9" s="4">
        <f>$C9*7.5/100</f>
        <v>3.75</v>
      </c>
      <c r="E9" s="4">
        <f>$C9*2.9/100</f>
        <v>1.45</v>
      </c>
      <c r="F9" s="4">
        <f>$C9*50.7/100</f>
        <v>25.35</v>
      </c>
      <c r="G9" s="4">
        <f>$C9*264/100</f>
        <v>132</v>
      </c>
      <c r="H9" s="15" t="s">
        <v>21</v>
      </c>
    </row>
    <row r="10" spans="1:8" ht="31.5" customHeight="1" x14ac:dyDescent="0.25">
      <c r="A10" s="44" t="s">
        <v>13</v>
      </c>
      <c r="B10" s="45"/>
      <c r="C10" s="6">
        <f>SUM(C6:C9)</f>
        <v>500</v>
      </c>
      <c r="D10" s="46">
        <f>SUM(D6:D9)</f>
        <v>17.899000000000001</v>
      </c>
      <c r="E10" s="46">
        <f>SUM(E6:E9)</f>
        <v>21.569999999999997</v>
      </c>
      <c r="F10" s="46">
        <f>SUM(F6:F9)</f>
        <v>114.553</v>
      </c>
      <c r="G10" s="46">
        <f>SUM(G6:G9)</f>
        <v>821.09999999999991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D11" sqref="D11:G11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48</v>
      </c>
      <c r="C5" s="41"/>
      <c r="D5" s="41"/>
      <c r="E5" s="41"/>
      <c r="F5" s="41"/>
      <c r="G5" s="41"/>
      <c r="H5" s="42"/>
    </row>
    <row r="6" spans="1:8" ht="38.25" customHeight="1" x14ac:dyDescent="0.25">
      <c r="A6" s="43" t="s">
        <v>14</v>
      </c>
      <c r="B6" s="2" t="s">
        <v>49</v>
      </c>
      <c r="C6" s="3">
        <v>150</v>
      </c>
      <c r="D6" s="4">
        <f>$C6*10.2/150</f>
        <v>10.199999999999999</v>
      </c>
      <c r="E6" s="4">
        <f>$C6*10.6/150</f>
        <v>10.6</v>
      </c>
      <c r="F6" s="4">
        <f>$C6*21.23/150</f>
        <v>21.23</v>
      </c>
      <c r="G6" s="4">
        <f>$C6*126.74/150</f>
        <v>126.74</v>
      </c>
      <c r="H6" s="15" t="s">
        <v>50</v>
      </c>
    </row>
    <row r="7" spans="1:8" ht="31.5" customHeight="1" x14ac:dyDescent="0.25">
      <c r="A7" s="43"/>
      <c r="B7" s="5" t="s">
        <v>15</v>
      </c>
      <c r="C7" s="3">
        <v>100</v>
      </c>
      <c r="D7" s="4">
        <f>$C7*7.85/100</f>
        <v>7.85</v>
      </c>
      <c r="E7" s="4">
        <f>$C7*42.1/100</f>
        <v>42.1</v>
      </c>
      <c r="F7" s="4">
        <f>$C7*7.89/100</f>
        <v>7.89</v>
      </c>
      <c r="G7" s="4">
        <f>$C7*123/100</f>
        <v>123</v>
      </c>
      <c r="H7" s="15" t="s">
        <v>23</v>
      </c>
    </row>
    <row r="8" spans="1:8" ht="31.5" customHeight="1" x14ac:dyDescent="0.25">
      <c r="A8" s="43"/>
      <c r="B8" s="5" t="s">
        <v>51</v>
      </c>
      <c r="C8" s="3">
        <v>200</v>
      </c>
      <c r="D8" s="4">
        <f>$C$8*0.21/100</f>
        <v>0.42</v>
      </c>
      <c r="E8" s="4">
        <f>$C$8*0.21/100</f>
        <v>0.42</v>
      </c>
      <c r="F8" s="4">
        <f>$C$8*15.27/100</f>
        <v>30.54</v>
      </c>
      <c r="G8" s="4">
        <f>$C$8*62/100</f>
        <v>124</v>
      </c>
      <c r="H8" s="15" t="s">
        <v>52</v>
      </c>
    </row>
    <row r="9" spans="1:8" ht="31.5" customHeight="1" x14ac:dyDescent="0.25">
      <c r="A9" s="43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43"/>
      <c r="B10" s="5" t="s">
        <v>53</v>
      </c>
      <c r="C10" s="3">
        <v>30</v>
      </c>
      <c r="D10" s="4">
        <f>$C10*1.97/100</f>
        <v>0.59099999999999997</v>
      </c>
      <c r="E10" s="4">
        <f>$C10*7.74/100</f>
        <v>2.3220000000000001</v>
      </c>
      <c r="F10" s="4">
        <f>$C10*0.3/100</f>
        <v>0.09</v>
      </c>
      <c r="G10" s="4">
        <f>$C10*162.9/100</f>
        <v>48.87</v>
      </c>
      <c r="H10" s="15" t="s">
        <v>54</v>
      </c>
    </row>
    <row r="11" spans="1:8" ht="31.5" customHeight="1" x14ac:dyDescent="0.25">
      <c r="A11" s="44" t="s">
        <v>13</v>
      </c>
      <c r="B11" s="45"/>
      <c r="C11" s="6">
        <f>SUM(C6:C10)</f>
        <v>520</v>
      </c>
      <c r="D11" s="46">
        <f>SUM(D6:D10)</f>
        <v>21.221</v>
      </c>
      <c r="E11" s="46">
        <f>SUM(E6:E10)</f>
        <v>55.842000000000006</v>
      </c>
      <c r="F11" s="46">
        <f>SUM(F6:F10)</f>
        <v>77.59</v>
      </c>
      <c r="G11" s="46">
        <f>SUM(G6:G10)</f>
        <v>507.41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D10" sqref="D10:G10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9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2" t="s">
        <v>56</v>
      </c>
      <c r="C6" s="3">
        <v>230</v>
      </c>
      <c r="D6" s="4">
        <f>$C6*6.07/100</f>
        <v>13.961000000000002</v>
      </c>
      <c r="E6" s="4">
        <f>$C6*7.48/100</f>
        <v>17.204000000000001</v>
      </c>
      <c r="F6" s="4">
        <f>$C6*23.98/100</f>
        <v>55.154000000000003</v>
      </c>
      <c r="G6" s="4">
        <f>$C6*191/100</f>
        <v>439.3</v>
      </c>
      <c r="H6" s="15" t="s">
        <v>57</v>
      </c>
    </row>
    <row r="7" spans="1:8" ht="31.5" customHeight="1" x14ac:dyDescent="0.25">
      <c r="A7" s="43"/>
      <c r="B7" s="5" t="s">
        <v>16</v>
      </c>
      <c r="C7" s="3">
        <v>215</v>
      </c>
      <c r="D7" s="4">
        <f>$C7*0.2/100</f>
        <v>0.43</v>
      </c>
      <c r="E7" s="4">
        <f>$C7*0.05/100</f>
        <v>0.1075</v>
      </c>
      <c r="F7" s="4">
        <f>$C7*15.01/100</f>
        <v>32.271500000000003</v>
      </c>
      <c r="G7" s="4">
        <f>$C7*57/100</f>
        <v>122.55</v>
      </c>
      <c r="H7" s="15" t="s">
        <v>22</v>
      </c>
    </row>
    <row r="8" spans="1:8" ht="31.5" customHeight="1" x14ac:dyDescent="0.25">
      <c r="A8" s="43"/>
      <c r="B8" s="5" t="s">
        <v>17</v>
      </c>
      <c r="C8" s="3">
        <v>40</v>
      </c>
      <c r="D8" s="4">
        <f>$C8*5.4/100</f>
        <v>2.16</v>
      </c>
      <c r="E8" s="4">
        <f>$C8*1/100</f>
        <v>0.4</v>
      </c>
      <c r="F8" s="4">
        <f>$C8*44.6/100</f>
        <v>17.84</v>
      </c>
      <c r="G8" s="4">
        <f>$C8*212/100</f>
        <v>84.8</v>
      </c>
      <c r="H8" s="15" t="s">
        <v>21</v>
      </c>
    </row>
    <row r="9" spans="1:8" ht="31.5" customHeight="1" x14ac:dyDescent="0.25">
      <c r="A9" s="43"/>
      <c r="B9" s="5" t="s">
        <v>58</v>
      </c>
      <c r="C9" s="3">
        <v>100</v>
      </c>
      <c r="D9" s="4">
        <f>$C9*0/100</f>
        <v>0</v>
      </c>
      <c r="E9" s="4">
        <f>$C9*4.52/100</f>
        <v>4.5199999999999996</v>
      </c>
      <c r="F9" s="4">
        <f>$C9*46/100</f>
        <v>46</v>
      </c>
      <c r="G9" s="4">
        <f>$C9*137.08/100</f>
        <v>137.08000000000001</v>
      </c>
      <c r="H9" s="15" t="s">
        <v>20</v>
      </c>
    </row>
    <row r="10" spans="1:8" ht="31.5" customHeight="1" x14ac:dyDescent="0.25">
      <c r="A10" s="44" t="s">
        <v>13</v>
      </c>
      <c r="B10" s="45"/>
      <c r="C10" s="6">
        <f>SUM(C6:C9)</f>
        <v>585</v>
      </c>
      <c r="D10" s="46">
        <f>SUM(D6:D9)</f>
        <v>16.551000000000002</v>
      </c>
      <c r="E10" s="46">
        <f>SUM(E6:E9)</f>
        <v>22.2315</v>
      </c>
      <c r="F10" s="46">
        <f>SUM(F6:F9)</f>
        <v>151.2655</v>
      </c>
      <c r="G10" s="46">
        <f>SUM(G6:G9)</f>
        <v>783.73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C8" sqref="C8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24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2" t="s">
        <v>25</v>
      </c>
      <c r="C6" s="3">
        <v>200</v>
      </c>
      <c r="D6" s="4">
        <f>$C$6*12.58/100</f>
        <v>25.16</v>
      </c>
      <c r="E6" s="4">
        <f>$C$6*30.24/100</f>
        <v>60.48</v>
      </c>
      <c r="F6" s="4">
        <f>$C$6*56.14/100</f>
        <v>112.28</v>
      </c>
      <c r="G6" s="4">
        <f>$C$6*148.5/100</f>
        <v>297</v>
      </c>
      <c r="H6" s="15" t="s">
        <v>26</v>
      </c>
    </row>
    <row r="7" spans="1:8" ht="31.5" customHeight="1" x14ac:dyDescent="0.25">
      <c r="A7" s="43"/>
      <c r="B7" s="5" t="s">
        <v>59</v>
      </c>
      <c r="C7" s="3">
        <v>90</v>
      </c>
      <c r="D7" s="4">
        <f>$C7*7.81/100</f>
        <v>7.0289999999999999</v>
      </c>
      <c r="E7" s="4">
        <f>$C7*10.49/100</f>
        <v>9.4410000000000007</v>
      </c>
      <c r="F7" s="4">
        <f>$C7*8.02/100</f>
        <v>7.218</v>
      </c>
      <c r="G7" s="4">
        <f>$C7*265/100</f>
        <v>238.5</v>
      </c>
      <c r="H7" s="15" t="s">
        <v>60</v>
      </c>
    </row>
    <row r="8" spans="1:8" ht="31.5" customHeight="1" x14ac:dyDescent="0.25">
      <c r="A8" s="43"/>
      <c r="B8" s="5" t="s">
        <v>61</v>
      </c>
      <c r="C8" s="3">
        <v>50</v>
      </c>
      <c r="D8" s="4">
        <f>$C8*8.16/100</f>
        <v>4.08</v>
      </c>
      <c r="E8" s="4">
        <f>$C8*17.23/100</f>
        <v>8.6150000000000002</v>
      </c>
      <c r="F8" s="4">
        <f>$C8*62.21/100</f>
        <v>31.105</v>
      </c>
      <c r="G8" s="4">
        <f>$C8*437/100</f>
        <v>218.5</v>
      </c>
      <c r="H8" s="15" t="s">
        <v>62</v>
      </c>
    </row>
    <row r="9" spans="1:8" ht="31.5" customHeight="1" x14ac:dyDescent="0.25">
      <c r="A9" s="43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43"/>
      <c r="B10" s="5" t="s">
        <v>11</v>
      </c>
      <c r="C10" s="3">
        <v>200</v>
      </c>
      <c r="D10" s="4">
        <f>$C10*0/100</f>
        <v>0</v>
      </c>
      <c r="E10" s="4">
        <f>$C10*0/100</f>
        <v>0</v>
      </c>
      <c r="F10" s="4">
        <f>$C10*11.2/100</f>
        <v>22.4</v>
      </c>
      <c r="G10" s="4">
        <f>$C10*45/100</f>
        <v>90</v>
      </c>
      <c r="H10" s="15" t="s">
        <v>20</v>
      </c>
    </row>
    <row r="11" spans="1:8" ht="31.5" customHeight="1" x14ac:dyDescent="0.25">
      <c r="A11" s="44" t="s">
        <v>13</v>
      </c>
      <c r="B11" s="45"/>
      <c r="C11" s="6">
        <f>SUM(C6:C10)</f>
        <v>580</v>
      </c>
      <c r="D11" s="46">
        <f>SUM(D6:D10)</f>
        <v>38.429000000000002</v>
      </c>
      <c r="E11" s="46">
        <f>SUM(E6:E10)</f>
        <v>78.935999999999993</v>
      </c>
      <c r="F11" s="46">
        <f>SUM(F6:F10)</f>
        <v>190.84300000000002</v>
      </c>
      <c r="G11" s="46">
        <f>SUM(G6:G10)</f>
        <v>928.8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workbookViewId="0">
      <selection activeCell="H17" sqref="H17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33</v>
      </c>
      <c r="C5" s="41"/>
      <c r="D5" s="41"/>
      <c r="E5" s="41"/>
      <c r="F5" s="41"/>
      <c r="G5" s="41"/>
      <c r="H5" s="42"/>
    </row>
    <row r="6" spans="1:8" ht="31.5" customHeight="1" x14ac:dyDescent="0.25">
      <c r="A6" s="43" t="s">
        <v>14</v>
      </c>
      <c r="B6" s="17" t="s">
        <v>35</v>
      </c>
      <c r="C6" s="3">
        <v>300</v>
      </c>
      <c r="D6" s="4">
        <f>$C6*18.99/100</f>
        <v>56.969999999999992</v>
      </c>
      <c r="E6" s="4">
        <f>$C6*7.18/100</f>
        <v>21.54</v>
      </c>
      <c r="F6" s="4">
        <f>$C6*30.8/100</f>
        <v>92.4</v>
      </c>
      <c r="G6" s="4">
        <f>$C6*267/100</f>
        <v>801</v>
      </c>
      <c r="H6" s="15" t="s">
        <v>36</v>
      </c>
    </row>
    <row r="7" spans="1:8" ht="31.5" customHeight="1" x14ac:dyDescent="0.25">
      <c r="A7" s="43"/>
      <c r="B7" s="5" t="s">
        <v>17</v>
      </c>
      <c r="C7" s="3">
        <v>40</v>
      </c>
      <c r="D7" s="4">
        <f>$C7*5.4/100</f>
        <v>2.16</v>
      </c>
      <c r="E7" s="4">
        <f>$C7*1/100</f>
        <v>0.4</v>
      </c>
      <c r="F7" s="4">
        <f>$C7*44.6/100</f>
        <v>17.84</v>
      </c>
      <c r="G7" s="4">
        <f>$C7*212/100</f>
        <v>84.8</v>
      </c>
      <c r="H7" s="15" t="s">
        <v>21</v>
      </c>
    </row>
    <row r="8" spans="1:8" ht="31.5" customHeight="1" x14ac:dyDescent="0.25">
      <c r="A8" s="43"/>
      <c r="B8" s="5" t="s">
        <v>16</v>
      </c>
      <c r="C8" s="3">
        <v>215</v>
      </c>
      <c r="D8" s="4">
        <f>$C8*0.2/100</f>
        <v>0.43</v>
      </c>
      <c r="E8" s="4">
        <f>$C8*0.05/100</f>
        <v>0.1075</v>
      </c>
      <c r="F8" s="4">
        <f>$C8*15.01/100</f>
        <v>32.271500000000003</v>
      </c>
      <c r="G8" s="4">
        <f>$C8*57/100</f>
        <v>122.55</v>
      </c>
      <c r="H8" s="15" t="s">
        <v>22</v>
      </c>
    </row>
    <row r="9" spans="1:8" ht="31.5" customHeight="1" x14ac:dyDescent="0.25">
      <c r="A9" s="44" t="s">
        <v>13</v>
      </c>
      <c r="B9" s="45"/>
      <c r="C9" s="6">
        <f>SUM(C6:C8)</f>
        <v>555</v>
      </c>
      <c r="D9" s="46">
        <f>SUM(D6:D8)</f>
        <v>59.559999999999995</v>
      </c>
      <c r="E9" s="46">
        <f>SUM(E6:E8)</f>
        <v>22.047499999999999</v>
      </c>
      <c r="F9" s="46">
        <f>SUM(F6:F8)</f>
        <v>142.51150000000001</v>
      </c>
      <c r="G9" s="46">
        <f>SUM(G6:G8)</f>
        <v>1008.3499999999999</v>
      </c>
      <c r="H9" s="16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</sheetData>
  <mergeCells count="3">
    <mergeCell ref="C5:H5"/>
    <mergeCell ref="A6:A8"/>
    <mergeCell ref="A9:B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AGWj5K4301hEZQyqUqzLiMUUdaos/NYIBagFNL7uqWU=</DigestValue>
    </Reference>
    <Reference URI="#idOfficeObject" Type="http://www.w3.org/2000/09/xmldsig#Object">
      <DigestMethod Algorithm="urn:ietf:params:xml:ns:cpxmlsec:algorithms:gostr34112012-256"/>
      <DigestValue>H+AmYYQ8ys+nGY7jL0a0il0H/rYwSoIxZYm7xNpY848=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9lCMny/ETuCR207p2JOfBIHFK+di0GvAbtDnlSGw+MU=</DigestValue>
    </Reference>
  </SignedInfo>
  <SignatureValue>jWeExliy0oSMFhC0ktiqC7GaKywKt1mQTL0Nzlj/AzgYseTp+lSgBOVYX8DTIlz5
71fadSctAfGd/RcXigSVCw==</SignatureValue>
  <KeyInfo>
    <X509Data>
      <X509Certificate>MIII/zCCCKygAwIBAgIUUZwMcpUufyud9/OSk1SX1PGydlkwCgYIKoUDBwEBAwIw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jNC90L7QtSDQutCw0LfQvdCw0YfQtdC50YHRgtCy0L4wHhcNMjExMDE4MTI0NDQ5
WhcNMjMwMTE4MTI0NDQ5WjCCAc4xGjAYBggqhQMDgQMBARIMNjcwNTAxNDUzMDk4
MRYwFAYFKoUDZAMSCzExNjk4MjEyNzc0MRwwGgYJKoZIhvcNAQkBFg1vemR1aEBt
YWlsLnJ1MQswCQYDVQQGEwJSVTEsMCoGA1UECAwj0KHQvNC+0LvQtdC90YHQutCw
0Y8g0L7QsdC70LDRgdGC0YwxFzAVBgNVBAcMDtCe0LfQtdGA0L3Ri9C5MYGlMIGi
BgNVBAoMgZrQnNCj0J3QmNCm0JjQn9CQ0JvQrNCd0J7QlSDQkdCu0JTQltCV0KLQ
ndCe0JUg0J7QkdCp0JXQntCR0KDQkNCX0J7QktCQ0KLQldCb0KzQndCe0JUg0KPQ
p9Cg0JXQltCU0JXQndCY0JUg0J7Ql9CV0KDQndCV0J3QodCa0JDQryDQodCg0JXQ
lNCd0K/QryDQqNCa0J7Qm9CQMSwwKgYDVQQqDCPQndCw0YLQsNC70YzRjyDQndC4
0LrQvtC70LDQtdCy0L3QsDEVMBMGA1UEBAwM0KjQuNC70L7QstCwMTkwNwYDVQQD
DDDQqNC40LvQvtCy0LAg0J3QsNGC0LDQu9GM0Y8g0J3QuNC60L7Qu9Cw0LXQstC9
0LAwZjAfBggqhQMHAQEBATATBgcqhQMCAiQABggqhQMHAQECAgNDAARAbOOjCkoH
kGC1i1fwaotYRL7LQqD5Q6h/nW0rkIAspUI+l7X2cqlp/5vBQMoGS7ELjCFpQRFD
smRvPnqDxFWrQaOCBLYwggSyMAwGA1UdEwEB/wQCMAAwRAYIKwYBBQUHAQEEODA2
MDQGCCsGAQUFBzAChihodHRwOi8vY3JsLnJvc2them5hLnJ1L2NybC91Y2ZrXzIw
MjEuY3J0MBMGA1UdIAQMMAowCAYGKoUDZHEBMCgGA1UdEQQhMB+gHQYKKoUDAz2e
1zYBCKAPEw0wMzYzMzAwMDAwMjcwMDYGBSqFA2RvBC0MKyLQmtGA0LjQv9GC0L7Q
n9GA0L4gQ1NQIiAo0LLQtdGA0YHQuNGPIDUuMCkwggFkBgUqhQNkcASCAVkwggFV
DEci0JrRgNC40L/RgtC+0J/RgNC+IENTUCIg0LLQtdGA0YHQuNGPIDQuMCAo0LjR
gdC/0L7Qu9C90LXQvdC40LUgMi1CYXNlKQxo0J/RgNC+0LPRgNCw0LzQvNC90L4t
0LDQv9C/0LDRgNCw0YLQvdGL0Lkg0LrQvtC80L/Qu9C10LrRgSDCq9Cu0L3QuNGB
0LXRgNGCLdCT0J7QodCiwrsuINCS0LXRgNGB0LjRjyAzLjAMT9Ch0LXRgNGC0LjR
hNC40LrQsNGCINGB0L7QvtGC0LLQtdGC0YHRgtCy0LjRjyDihJYg0KHQpC8xMjQt
Mzk2NiDQvtGCIDE1LjAxLjIwMjEMT9Ch0LXRgNGC0LjRhNC40LrQsNGCINGB0L7Q
vtGC0LLQtdGC0YHRgtCy0LjRjyDihJYg0KHQpC8xMjgtMzU4MSDQvtGCIDIwLjEy
LjIwMTgwDAYFKoUDZHIEAwIBATAOBgNVHQ8BAf8EBAMCA/gwRQYDVR0lBD4wPAYI
KwYBBQUHAwIGDSqFAwM9ntc2AQYDBQEGDSqFAwM9ntc2AQYDBQIGCCqFAwOBewgB
BggqhQMDgXsIAjArBgNVHRAEJDAigA8yMDIxMTAxODEyMTExM1qBDzIwMjMwMTE4
MTIxMTEzWjCCAWAGA1UdIwSCAVcwggFTgBRVMPEMnHdDsiTcBlktXAG2cdRkNqGC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jCDQoNC+0YHRgdC40LiCCwDLxpgzAAAAAAVuMGgGA1UdHwRhMF8wLqAsoCqGKGh0
dHA6Ly9jcmwucm9za2F6bmEucnUvY3JsL3VjZmtfMjAyMS5jcmwwLaAroCmGJ2h0
dHA6Ly9jcmwuZnNmay5sb2NhbC9jcmwvdWNma18yMDIxLmNybDAdBgNVHQ4EFgQU
zCwbcaTjs53K449OQLcGZgFWGtcwCgYIKoUDBwEBAwIDQQD35EHtt1Fg8/+vNDFl
yDn+vs1tnC8zWhJb62HavX3TdyRBjm9468DLL6YgdetyH4hws+bLMRt2oPD3nhro
6hd4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calcChain.xml?ContentType=application/vnd.openxmlformats-officedocument.spreadsheetml.calcChain+xml">
        <DigestMethod Algorithm="http://www.w3.org/2000/09/xmldsig#sha1"/>
        <DigestValue>bGP/U1Ce7RE8E8sb8y6HemPn9vo=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SRVgBScn/Kd3lJpyT3zFbTHmBAc=</DigestValue>
      </Reference>
      <Reference URI="/xl/media/image1.emf?ContentType=image/x-emf">
        <DigestMethod Algorithm="http://www.w3.org/2000/09/xmldsig#sha1"/>
        <DigestValue>CDfBlxoAkTLQjFxVCLJV9IWdo28=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PCTmIr7rHO3FV3RzD1ItERnfQPk=</DigestValue>
      </Reference>
      <Reference URI="/xl/sharedStrings.xml?ContentType=application/vnd.openxmlformats-officedocument.spreadsheetml.sharedStrings+xml">
        <DigestMethod Algorithm="http://www.w3.org/2000/09/xmldsig#sha1"/>
        <DigestValue>s7SUqI2bS7n6RPXdvOVdvImg+og=</DigestValue>
      </Reference>
      <Reference URI="/xl/styles.xml?ContentType=application/vnd.openxmlformats-officedocument.spreadsheetml.styles+xml">
        <DigestMethod Algorithm="http://www.w3.org/2000/09/xmldsig#sha1"/>
        <DigestValue>OLVMtw6xVsk2Ch28ToZIf3d2euw=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0MDzeK6ZIxWxgPFcgNKQQUiS8iE=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7MhIpVCzeRcpMNMzOrYcZ8lZxB8=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7QX8UNoVIIr0kO+NJ3ESXTHnzXE=</DigestValue>
      </Reference>
      <Reference URI="/xl/worksheets/sheet10.xml?ContentType=application/vnd.openxmlformats-officedocument.spreadsheetml.worksheet+xml">
        <DigestMethod Algorithm="http://www.w3.org/2000/09/xmldsig#sha1"/>
        <DigestValue>hT67/b8bspT//HQDq5hunUH5NHg=</DigestValue>
      </Reference>
      <Reference URI="/xl/worksheets/sheet11.xml?ContentType=application/vnd.openxmlformats-officedocument.spreadsheetml.worksheet+xml">
        <DigestMethod Algorithm="http://www.w3.org/2000/09/xmldsig#sha1"/>
        <DigestValue>jJBBsemsI/Aesv7ekwFszfhgOao=</DigestValue>
      </Reference>
      <Reference URI="/xl/worksheets/sheet2.xml?ContentType=application/vnd.openxmlformats-officedocument.spreadsheetml.worksheet+xml">
        <DigestMethod Algorithm="http://www.w3.org/2000/09/xmldsig#sha1"/>
        <DigestValue>xXAHcjfjZmc9T1WxbuiOVxSbjqo=</DigestValue>
      </Reference>
      <Reference URI="/xl/worksheets/sheet3.xml?ContentType=application/vnd.openxmlformats-officedocument.spreadsheetml.worksheet+xml">
        <DigestMethod Algorithm="http://www.w3.org/2000/09/xmldsig#sha1"/>
        <DigestValue>ulQ4zV+6A48W2bmf+tKicPtTOq0=</DigestValue>
      </Reference>
      <Reference URI="/xl/worksheets/sheet4.xml?ContentType=application/vnd.openxmlformats-officedocument.spreadsheetml.worksheet+xml">
        <DigestMethod Algorithm="http://www.w3.org/2000/09/xmldsig#sha1"/>
        <DigestValue>BngMjIZ4WmtadUU1QUAQtWL+f3w=</DigestValue>
      </Reference>
      <Reference URI="/xl/worksheets/sheet5.xml?ContentType=application/vnd.openxmlformats-officedocument.spreadsheetml.worksheet+xml">
        <DigestMethod Algorithm="http://www.w3.org/2000/09/xmldsig#sha1"/>
        <DigestValue>Fy1inE/F+wEefXZAioWKWA5ft40=</DigestValue>
      </Reference>
      <Reference URI="/xl/worksheets/sheet6.xml?ContentType=application/vnd.openxmlformats-officedocument.spreadsheetml.worksheet+xml">
        <DigestMethod Algorithm="http://www.w3.org/2000/09/xmldsig#sha1"/>
        <DigestValue>pBiQIdEDblKCqmdAmZnjRIVSMrE=</DigestValue>
      </Reference>
      <Reference URI="/xl/worksheets/sheet7.xml?ContentType=application/vnd.openxmlformats-officedocument.spreadsheetml.worksheet+xml">
        <DigestMethod Algorithm="http://www.w3.org/2000/09/xmldsig#sha1"/>
        <DigestValue>wnpuRzNNqHz9dyYenrULHd90bXc=</DigestValue>
      </Reference>
      <Reference URI="/xl/worksheets/sheet8.xml?ContentType=application/vnd.openxmlformats-officedocument.spreadsheetml.worksheet+xml">
        <DigestMethod Algorithm="http://www.w3.org/2000/09/xmldsig#sha1"/>
        <DigestValue>DZnJbEJsA2G39OQ3vwgZeWSFH7k=</DigestValue>
      </Reference>
      <Reference URI="/xl/worksheets/sheet9.xml?ContentType=application/vnd.openxmlformats-officedocument.spreadsheetml.worksheet+xml">
        <DigestMethod Algorithm="http://www.w3.org/2000/09/xmldsig#sha1"/>
        <DigestValue>Q/dyvD4EjO2I2srq9tvI8o6NFMs=</DigestValue>
      </Reference>
    </Manifest>
    <SignatureProperties>
      <SignatureProperty Id="idSignatureTime" Target="#idPackageSignature">
        <mdssi:SignatureTime>
          <mdssi:Format>YYYY-MM-DDThh:mm:ssTZD</mdssi:Format>
          <mdssi:Value>2022-10-07T16:28:40Z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2022-10-07T16:28:40Z</xd:SigningTime>
          <xd:SigningCertificate>
            <xd:Cert>
              <xd:CertDigest>
                <DigestMethod Algorithm="http://www.w3.org/2000/09/xmldsig#sha1"/>
                <DigestValue>cojBRF7qVbNEm0cOIt0lkby7oWk=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465908253025619185132073440931051097276470687321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Н1_Д1</vt:lpstr>
      <vt:lpstr>Н1_Д2</vt:lpstr>
      <vt:lpstr>Н1_Д3</vt:lpstr>
      <vt:lpstr>Н1_Д4</vt:lpstr>
      <vt:lpstr>Н1_Д5</vt:lpstr>
      <vt:lpstr>Н2_Д1</vt:lpstr>
      <vt:lpstr>Н2_Д2</vt:lpstr>
      <vt:lpstr>Н2_Д3</vt:lpstr>
      <vt:lpstr>Н2_Д4</vt:lpstr>
      <vt:lpstr>Н2_Д5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2022-10-07T16:28:34Z</dcterms:modified>
</cp:coreProperties>
</file>