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0"/>
  </bookViews>
  <sheets>
    <sheet name="Титул" sheetId="11" r:id="rId1"/>
    <sheet name="Н1_Д1" sheetId="1" r:id="rId2"/>
    <sheet name="Н1_Д2" sheetId="2" r:id="rId3"/>
    <sheet name="Н1_Д3" sheetId="3" r:id="rId4"/>
    <sheet name="Н1_Д4" sheetId="4" r:id="rId5"/>
    <sheet name="Н1_Д5" sheetId="5" r:id="rId6"/>
    <sheet name="Н2_Д1" sheetId="6" r:id="rId7"/>
    <sheet name="Н2_Д2" sheetId="7" r:id="rId8"/>
    <sheet name="Н2_Д3" sheetId="8" r:id="rId9"/>
    <sheet name="Н2_Д4" sheetId="9" r:id="rId10"/>
    <sheet name="Н2_Д5" sheetId="10" r:id="rId11"/>
  </sheets>
  <calcPr calcId="145621"/>
</workbook>
</file>

<file path=xl/calcChain.xml><?xml version="1.0" encoding="utf-8"?>
<calcChain xmlns="http://schemas.openxmlformats.org/spreadsheetml/2006/main">
  <c r="G15" i="10" l="1"/>
  <c r="F15" i="10"/>
  <c r="E15" i="10"/>
  <c r="D15" i="10"/>
  <c r="G7" i="2"/>
  <c r="F7" i="2"/>
  <c r="E7" i="2"/>
  <c r="D7" i="2"/>
  <c r="G12" i="1" l="1"/>
  <c r="F12" i="1"/>
  <c r="E12" i="1"/>
  <c r="D12" i="1"/>
  <c r="G14" i="10"/>
  <c r="F14" i="10"/>
  <c r="E14" i="10"/>
  <c r="D14" i="10"/>
  <c r="G6" i="8"/>
  <c r="G9" i="8" s="1"/>
  <c r="F6" i="8"/>
  <c r="E6" i="8"/>
  <c r="D6" i="8"/>
  <c r="G12" i="3"/>
  <c r="F12" i="3"/>
  <c r="E12" i="3"/>
  <c r="D12" i="3"/>
  <c r="G13" i="1"/>
  <c r="F13" i="1"/>
  <c r="F17" i="1" s="1"/>
  <c r="F18" i="1" s="1"/>
  <c r="E13" i="1"/>
  <c r="G17" i="1"/>
  <c r="G18" i="1" s="1"/>
  <c r="D13" i="1"/>
  <c r="G12" i="10"/>
  <c r="F12" i="10"/>
  <c r="E12" i="10"/>
  <c r="D12" i="10"/>
  <c r="G13" i="10"/>
  <c r="F13" i="10"/>
  <c r="E13" i="10"/>
  <c r="D13" i="10"/>
  <c r="G11" i="10"/>
  <c r="F11" i="10"/>
  <c r="E11" i="10"/>
  <c r="D11" i="10"/>
  <c r="G9" i="10"/>
  <c r="F9" i="10"/>
  <c r="E9" i="10"/>
  <c r="D9" i="10"/>
  <c r="G8" i="10"/>
  <c r="F8" i="10"/>
  <c r="E8" i="10"/>
  <c r="D8" i="10"/>
  <c r="G7" i="10"/>
  <c r="F7" i="10"/>
  <c r="E7" i="10"/>
  <c r="D7" i="10"/>
  <c r="G6" i="10"/>
  <c r="F6" i="10"/>
  <c r="E6" i="10"/>
  <c r="D6" i="10"/>
  <c r="C17" i="10"/>
  <c r="G16" i="10"/>
  <c r="F16" i="10"/>
  <c r="E16" i="10"/>
  <c r="D16" i="10"/>
  <c r="C10" i="10"/>
  <c r="D10" i="10"/>
  <c r="G16" i="9"/>
  <c r="F16" i="9"/>
  <c r="E16" i="9"/>
  <c r="D16" i="9"/>
  <c r="G15" i="9"/>
  <c r="F15" i="9"/>
  <c r="E15" i="9"/>
  <c r="D15" i="9"/>
  <c r="G14" i="9"/>
  <c r="F14" i="9"/>
  <c r="E14" i="9"/>
  <c r="D14" i="9"/>
  <c r="G13" i="9"/>
  <c r="F13" i="9"/>
  <c r="E13" i="9"/>
  <c r="E18" i="9" s="1"/>
  <c r="D13" i="9"/>
  <c r="G12" i="9"/>
  <c r="F12" i="9"/>
  <c r="E12" i="9"/>
  <c r="D12" i="9"/>
  <c r="G8" i="9"/>
  <c r="F8" i="9"/>
  <c r="E8" i="9"/>
  <c r="D8" i="9"/>
  <c r="G10" i="9"/>
  <c r="F10" i="9"/>
  <c r="E10" i="9"/>
  <c r="D10" i="9"/>
  <c r="G7" i="9"/>
  <c r="G11" i="9" s="1"/>
  <c r="F7" i="9"/>
  <c r="E7" i="9"/>
  <c r="D7" i="9"/>
  <c r="G6" i="9"/>
  <c r="F6" i="9"/>
  <c r="E6" i="9"/>
  <c r="D6" i="9"/>
  <c r="C18" i="9"/>
  <c r="G17" i="9"/>
  <c r="F17" i="9"/>
  <c r="F18" i="9" s="1"/>
  <c r="E17" i="9"/>
  <c r="D17" i="9"/>
  <c r="C11" i="9"/>
  <c r="G9" i="9"/>
  <c r="F9" i="9"/>
  <c r="E9" i="9"/>
  <c r="D9" i="9"/>
  <c r="F11" i="9"/>
  <c r="G12" i="8"/>
  <c r="F12" i="8"/>
  <c r="E12" i="8"/>
  <c r="D12" i="8"/>
  <c r="G11" i="8"/>
  <c r="F11" i="8"/>
  <c r="E11" i="8"/>
  <c r="D11" i="8"/>
  <c r="G10" i="8"/>
  <c r="F10" i="8"/>
  <c r="E10" i="8"/>
  <c r="D10" i="8"/>
  <c r="G8" i="8"/>
  <c r="F8" i="8"/>
  <c r="E8" i="8"/>
  <c r="D8" i="8"/>
  <c r="C15" i="8"/>
  <c r="G14" i="8"/>
  <c r="F14" i="8"/>
  <c r="E14" i="8"/>
  <c r="D14" i="8"/>
  <c r="G13" i="8"/>
  <c r="F13" i="8"/>
  <c r="E13" i="8"/>
  <c r="D13" i="8"/>
  <c r="F15" i="8"/>
  <c r="C9" i="8"/>
  <c r="G7" i="8"/>
  <c r="F7" i="8"/>
  <c r="E7" i="8"/>
  <c r="D7" i="8"/>
  <c r="G14" i="7"/>
  <c r="F14" i="7"/>
  <c r="E14" i="7"/>
  <c r="D14" i="7"/>
  <c r="G13" i="7"/>
  <c r="F13" i="7"/>
  <c r="E13" i="7"/>
  <c r="D13" i="7"/>
  <c r="G12" i="7"/>
  <c r="F12" i="7"/>
  <c r="E12" i="7"/>
  <c r="D12" i="7"/>
  <c r="G7" i="7"/>
  <c r="F7" i="7"/>
  <c r="E7" i="7"/>
  <c r="D7" i="7"/>
  <c r="G8" i="7"/>
  <c r="F8" i="7"/>
  <c r="E8" i="7"/>
  <c r="D8" i="7"/>
  <c r="G10" i="7"/>
  <c r="F10" i="7"/>
  <c r="E10" i="7"/>
  <c r="D10" i="7"/>
  <c r="G6" i="7"/>
  <c r="F6" i="7"/>
  <c r="E6" i="7"/>
  <c r="D6" i="7"/>
  <c r="C17" i="7"/>
  <c r="G16" i="7"/>
  <c r="F16" i="7"/>
  <c r="E16" i="7"/>
  <c r="D16" i="7"/>
  <c r="G15" i="7"/>
  <c r="F15" i="7"/>
  <c r="E15" i="7"/>
  <c r="E17" i="7" s="1"/>
  <c r="D15" i="7"/>
  <c r="C11" i="7"/>
  <c r="G9" i="7"/>
  <c r="F9" i="7"/>
  <c r="E9" i="7"/>
  <c r="D9" i="7"/>
  <c r="G14" i="6"/>
  <c r="F14" i="6"/>
  <c r="E14" i="6"/>
  <c r="D14" i="6"/>
  <c r="G13" i="6"/>
  <c r="F13" i="6"/>
  <c r="E13" i="6"/>
  <c r="D13" i="6"/>
  <c r="G12" i="6"/>
  <c r="F12" i="6"/>
  <c r="E12" i="6"/>
  <c r="D12" i="6"/>
  <c r="G9" i="6"/>
  <c r="F9" i="6"/>
  <c r="E9" i="6"/>
  <c r="D9" i="6"/>
  <c r="G8" i="6"/>
  <c r="F8" i="6"/>
  <c r="E8" i="6"/>
  <c r="D8" i="6"/>
  <c r="G7" i="6"/>
  <c r="F7" i="6"/>
  <c r="E7" i="6"/>
  <c r="D7" i="6"/>
  <c r="G6" i="6"/>
  <c r="F6" i="6"/>
  <c r="E6" i="6"/>
  <c r="D6" i="6"/>
  <c r="C18" i="6"/>
  <c r="G17" i="6"/>
  <c r="F17" i="6"/>
  <c r="E17" i="6"/>
  <c r="D17" i="6"/>
  <c r="G16" i="6"/>
  <c r="F16" i="6"/>
  <c r="E16" i="6"/>
  <c r="D16" i="6"/>
  <c r="G15" i="6"/>
  <c r="F15" i="6"/>
  <c r="E15" i="6"/>
  <c r="D15" i="6"/>
  <c r="G11" i="6"/>
  <c r="G18" i="6" s="1"/>
  <c r="F11" i="6"/>
  <c r="E11" i="6"/>
  <c r="D11" i="6"/>
  <c r="C10" i="6"/>
  <c r="G14" i="5"/>
  <c r="F14" i="5"/>
  <c r="E14" i="5"/>
  <c r="D14" i="5"/>
  <c r="G13" i="5"/>
  <c r="F13" i="5"/>
  <c r="E13" i="5"/>
  <c r="D13" i="5"/>
  <c r="G12" i="5"/>
  <c r="F12" i="5"/>
  <c r="E12" i="5"/>
  <c r="D12" i="5"/>
  <c r="G10" i="5"/>
  <c r="F10" i="5"/>
  <c r="E10" i="5"/>
  <c r="D10" i="5"/>
  <c r="G9" i="5"/>
  <c r="F9" i="5"/>
  <c r="E9" i="5"/>
  <c r="D9" i="5"/>
  <c r="G8" i="5"/>
  <c r="F8" i="5"/>
  <c r="E8" i="5"/>
  <c r="D8" i="5"/>
  <c r="G6" i="5"/>
  <c r="F6" i="5"/>
  <c r="E6" i="5"/>
  <c r="D6" i="5"/>
  <c r="E7" i="5"/>
  <c r="G7" i="5"/>
  <c r="F7" i="5"/>
  <c r="D7" i="5"/>
  <c r="C17" i="5"/>
  <c r="G16" i="5"/>
  <c r="F16" i="5"/>
  <c r="E16" i="5"/>
  <c r="D16" i="5"/>
  <c r="G15" i="5"/>
  <c r="F15" i="5"/>
  <c r="E15" i="5"/>
  <c r="D15" i="5"/>
  <c r="F17" i="5"/>
  <c r="C11" i="5"/>
  <c r="G13" i="4"/>
  <c r="G16" i="4" s="1"/>
  <c r="F13" i="4"/>
  <c r="E13" i="4"/>
  <c r="D13" i="4"/>
  <c r="D16" i="4" s="1"/>
  <c r="G12" i="4"/>
  <c r="F12" i="4"/>
  <c r="E12" i="4"/>
  <c r="D12" i="4"/>
  <c r="G11" i="4"/>
  <c r="D11" i="4"/>
  <c r="E11" i="4"/>
  <c r="F11" i="4"/>
  <c r="G8" i="3"/>
  <c r="F8" i="3"/>
  <c r="E8" i="3"/>
  <c r="D8" i="3"/>
  <c r="G9" i="4"/>
  <c r="G7" i="4"/>
  <c r="F7" i="4"/>
  <c r="F10" i="4" s="1"/>
  <c r="E7" i="4"/>
  <c r="D7" i="4"/>
  <c r="G6" i="4"/>
  <c r="F6" i="4"/>
  <c r="E6" i="4"/>
  <c r="D6" i="4"/>
  <c r="C16" i="4"/>
  <c r="G15" i="4"/>
  <c r="F15" i="4"/>
  <c r="E15" i="4"/>
  <c r="D15" i="4"/>
  <c r="G14" i="4"/>
  <c r="F14" i="4"/>
  <c r="E14" i="4"/>
  <c r="D14" i="4"/>
  <c r="F16" i="4"/>
  <c r="E16" i="4"/>
  <c r="C10" i="4"/>
  <c r="C17" i="4" s="1"/>
  <c r="G10" i="4"/>
  <c r="F9" i="4"/>
  <c r="E9" i="4"/>
  <c r="D9" i="4"/>
  <c r="D10" i="4" s="1"/>
  <c r="G8" i="4"/>
  <c r="F8" i="4"/>
  <c r="E8" i="4"/>
  <c r="D8" i="4"/>
  <c r="E10" i="4"/>
  <c r="G13" i="3"/>
  <c r="F13" i="3"/>
  <c r="D13" i="3"/>
  <c r="G11" i="3"/>
  <c r="F11" i="3"/>
  <c r="E11" i="3"/>
  <c r="D11" i="3"/>
  <c r="G7" i="3"/>
  <c r="F7" i="3"/>
  <c r="E7" i="3"/>
  <c r="D7" i="3"/>
  <c r="G6" i="3"/>
  <c r="F6" i="3"/>
  <c r="E6" i="3"/>
  <c r="D6" i="3"/>
  <c r="C16" i="3"/>
  <c r="G15" i="3"/>
  <c r="F15" i="3"/>
  <c r="E15" i="3"/>
  <c r="D15" i="3"/>
  <c r="G14" i="3"/>
  <c r="F14" i="3"/>
  <c r="E14" i="3"/>
  <c r="D14" i="3"/>
  <c r="E13" i="3"/>
  <c r="C10" i="3"/>
  <c r="G9" i="3"/>
  <c r="F9" i="3"/>
  <c r="E9" i="3"/>
  <c r="D9" i="3"/>
  <c r="F10" i="3"/>
  <c r="G15" i="2"/>
  <c r="F15" i="2"/>
  <c r="E15" i="2"/>
  <c r="D15" i="2"/>
  <c r="G13" i="2"/>
  <c r="G19" i="2" s="1"/>
  <c r="F13" i="2"/>
  <c r="E13" i="2"/>
  <c r="E19" i="2" s="1"/>
  <c r="D13" i="2"/>
  <c r="G11" i="2"/>
  <c r="F11" i="2"/>
  <c r="E11" i="2"/>
  <c r="D11" i="2"/>
  <c r="G10" i="2"/>
  <c r="F10" i="2"/>
  <c r="E10" i="2"/>
  <c r="D10" i="2"/>
  <c r="G9" i="2"/>
  <c r="F9" i="2"/>
  <c r="E9" i="2"/>
  <c r="D9" i="2"/>
  <c r="G8" i="2"/>
  <c r="F8" i="2"/>
  <c r="E8" i="2"/>
  <c r="D8" i="2"/>
  <c r="G6" i="2"/>
  <c r="G12" i="2" s="1"/>
  <c r="F6" i="2"/>
  <c r="E6" i="2"/>
  <c r="D6" i="2"/>
  <c r="C19" i="2"/>
  <c r="G18" i="2"/>
  <c r="F18" i="2"/>
  <c r="E18" i="2"/>
  <c r="D18" i="2"/>
  <c r="G17" i="2"/>
  <c r="F17" i="2"/>
  <c r="E17" i="2"/>
  <c r="D17" i="2"/>
  <c r="G16" i="2"/>
  <c r="F16" i="2"/>
  <c r="E16" i="2"/>
  <c r="D16" i="2"/>
  <c r="G14" i="2"/>
  <c r="F14" i="2"/>
  <c r="F19" i="2" s="1"/>
  <c r="E14" i="2"/>
  <c r="D14" i="2"/>
  <c r="C12" i="2"/>
  <c r="E12" i="2"/>
  <c r="E17" i="1"/>
  <c r="E18" i="1" s="1"/>
  <c r="D17" i="1"/>
  <c r="D18" i="1" s="1"/>
  <c r="C17" i="1"/>
  <c r="C18" i="1" s="1"/>
  <c r="G14" i="1"/>
  <c r="F14" i="1"/>
  <c r="E14" i="1"/>
  <c r="D14" i="1"/>
  <c r="G11" i="1"/>
  <c r="F11" i="1"/>
  <c r="E11" i="1"/>
  <c r="D11" i="1"/>
  <c r="G10" i="1"/>
  <c r="F10" i="1"/>
  <c r="E10" i="1"/>
  <c r="D10" i="1"/>
  <c r="G16" i="1"/>
  <c r="F16" i="1"/>
  <c r="E16" i="1"/>
  <c r="D16" i="1"/>
  <c r="G15" i="1"/>
  <c r="F15" i="1"/>
  <c r="E15" i="1"/>
  <c r="D15" i="1"/>
  <c r="G9" i="1"/>
  <c r="F9" i="1"/>
  <c r="E9" i="1"/>
  <c r="D9" i="1"/>
  <c r="C9" i="1"/>
  <c r="G8" i="1"/>
  <c r="F8" i="1"/>
  <c r="E8" i="1"/>
  <c r="D8" i="1"/>
  <c r="G7" i="1"/>
  <c r="F7" i="1"/>
  <c r="E7" i="1"/>
  <c r="D7" i="1"/>
  <c r="G6" i="1"/>
  <c r="F6" i="1"/>
  <c r="E6" i="1"/>
  <c r="D6" i="1"/>
  <c r="D11" i="9" l="1"/>
  <c r="F17" i="7"/>
  <c r="F11" i="7"/>
  <c r="F18" i="7" s="1"/>
  <c r="F18" i="6"/>
  <c r="D17" i="5"/>
  <c r="E17" i="10"/>
  <c r="G17" i="10"/>
  <c r="C18" i="10"/>
  <c r="D17" i="10"/>
  <c r="D18" i="10" s="1"/>
  <c r="F10" i="10"/>
  <c r="G10" i="10"/>
  <c r="F17" i="10"/>
  <c r="F18" i="10" s="1"/>
  <c r="E10" i="10"/>
  <c r="D18" i="9"/>
  <c r="D19" i="9" s="1"/>
  <c r="G18" i="9"/>
  <c r="G19" i="9" s="1"/>
  <c r="F19" i="9"/>
  <c r="C19" i="9"/>
  <c r="E11" i="9"/>
  <c r="E19" i="9" s="1"/>
  <c r="G15" i="8"/>
  <c r="G16" i="8" s="1"/>
  <c r="D15" i="8"/>
  <c r="E15" i="8"/>
  <c r="D9" i="8"/>
  <c r="D16" i="8" s="1"/>
  <c r="E9" i="8"/>
  <c r="F9" i="8"/>
  <c r="F16" i="8" s="1"/>
  <c r="C16" i="8"/>
  <c r="G17" i="7"/>
  <c r="G18" i="7" s="1"/>
  <c r="C18" i="7"/>
  <c r="D11" i="7"/>
  <c r="D18" i="7" s="1"/>
  <c r="G11" i="7"/>
  <c r="E11" i="7"/>
  <c r="E18" i="7" s="1"/>
  <c r="D17" i="7"/>
  <c r="E18" i="6"/>
  <c r="C19" i="6"/>
  <c r="D18" i="6"/>
  <c r="G10" i="6"/>
  <c r="G19" i="6" s="1"/>
  <c r="D10" i="6"/>
  <c r="E10" i="6"/>
  <c r="F10" i="6"/>
  <c r="F19" i="6" s="1"/>
  <c r="E17" i="5"/>
  <c r="G17" i="5"/>
  <c r="C18" i="5"/>
  <c r="E11" i="5"/>
  <c r="F11" i="5"/>
  <c r="F18" i="5" s="1"/>
  <c r="G11" i="5"/>
  <c r="D11" i="5"/>
  <c r="D18" i="5" s="1"/>
  <c r="G17" i="4"/>
  <c r="E17" i="4"/>
  <c r="F17" i="4"/>
  <c r="D17" i="4"/>
  <c r="G10" i="3"/>
  <c r="E10" i="3"/>
  <c r="E16" i="3"/>
  <c r="F16" i="3"/>
  <c r="F17" i="3" s="1"/>
  <c r="G16" i="3"/>
  <c r="D16" i="3"/>
  <c r="D10" i="3"/>
  <c r="C17" i="3"/>
  <c r="C20" i="2"/>
  <c r="D19" i="2"/>
  <c r="G20" i="2"/>
  <c r="E20" i="2"/>
  <c r="D12" i="2"/>
  <c r="F12" i="2"/>
  <c r="F20" i="2" s="1"/>
  <c r="E18" i="5" l="1"/>
  <c r="G18" i="10"/>
  <c r="E16" i="8"/>
  <c r="E17" i="3"/>
  <c r="E18" i="10"/>
  <c r="E19" i="6"/>
  <c r="D19" i="6"/>
  <c r="G18" i="5"/>
  <c r="G17" i="3"/>
  <c r="D17" i="3"/>
  <c r="D20" i="2"/>
</calcChain>
</file>

<file path=xl/sharedStrings.xml><?xml version="1.0" encoding="utf-8"?>
<sst xmlns="http://schemas.openxmlformats.org/spreadsheetml/2006/main" count="352" uniqueCount="94">
  <si>
    <t>Прием пищи</t>
  </si>
  <si>
    <t>Наименование блюда</t>
  </si>
  <si>
    <t>Масса, г</t>
  </si>
  <si>
    <t>Белки, г</t>
  </si>
  <si>
    <t>Жиры, г</t>
  </si>
  <si>
    <t>Углеводы, г</t>
  </si>
  <si>
    <t>Энергетическая ценность, ккал</t>
  </si>
  <si>
    <t>№ рецептуры</t>
  </si>
  <si>
    <t>Неделя Первая</t>
  </si>
  <si>
    <t>День первый</t>
  </si>
  <si>
    <t>Каша вязкая геркулесовая
с маслом</t>
  </si>
  <si>
    <t>Сок фруктовый</t>
  </si>
  <si>
    <t>Сдоба «Выборская»</t>
  </si>
  <si>
    <t>Итого за завтрак:</t>
  </si>
  <si>
    <t>завтрак</t>
  </si>
  <si>
    <t>Суп картофельный с горохом</t>
  </si>
  <si>
    <t>Котлеты (биточки) мясные</t>
  </si>
  <si>
    <t>Масло сливочное</t>
  </si>
  <si>
    <t>Чай с сахаром</t>
  </si>
  <si>
    <t>Хлеб пеклеванный</t>
  </si>
  <si>
    <t>Батон «Нарезной»</t>
  </si>
  <si>
    <t>Рецепт № 658</t>
  </si>
  <si>
    <t>-</t>
  </si>
  <si>
    <t>ПО "Духовщинахлеб"</t>
  </si>
  <si>
    <t>Рецепт № 118</t>
  </si>
  <si>
    <t>Рецепт № 1009</t>
  </si>
  <si>
    <t>Рецепт № 221</t>
  </si>
  <si>
    <t>Итого за обед:</t>
  </si>
  <si>
    <t>Итого за день:</t>
  </si>
  <si>
    <t>обед</t>
  </si>
  <si>
    <t>День второй</t>
  </si>
  <si>
    <t>Каша гречневая вязкая (гарнирная)</t>
  </si>
  <si>
    <t>Рецепт № 746</t>
  </si>
  <si>
    <t>Котлета "Здоровье"</t>
  </si>
  <si>
    <t>Рецепт № 163</t>
  </si>
  <si>
    <t>Огурец свежий порционный</t>
  </si>
  <si>
    <t>Рецепт № 12</t>
  </si>
  <si>
    <t>Суп с макаронными изделиями с мясом</t>
  </si>
  <si>
    <t>Рецепт № 143</t>
  </si>
  <si>
    <t>Пюре картофельное (гарнирное)</t>
  </si>
  <si>
    <t>Рецепт № 759</t>
  </si>
  <si>
    <t>День третий</t>
  </si>
  <si>
    <t>Котлета рыбная "Фантазия"</t>
  </si>
  <si>
    <t>Борщ из свежей капусты с картофелем и сметаной</t>
  </si>
  <si>
    <t>Плов из свинины</t>
  </si>
  <si>
    <t>Рецепт № 642</t>
  </si>
  <si>
    <t>Чай с сахаром и лимоном</t>
  </si>
  <si>
    <t>Рецепт № 434</t>
  </si>
  <si>
    <t>Каша молочная (вязкая) рисовая с маслом сливочным</t>
  </si>
  <si>
    <t>Рецепт № 411</t>
  </si>
  <si>
    <t>Сыр порционный</t>
  </si>
  <si>
    <t>Рецепт № 80</t>
  </si>
  <si>
    <t>Булка "Городская"</t>
  </si>
  <si>
    <t>Кофейный напиток с молоком</t>
  </si>
  <si>
    <t>Щи из свежей капусты с картофелем и сметаной</t>
  </si>
  <si>
    <t>Рецепт № 197</t>
  </si>
  <si>
    <t>Жаркое по-домашнему</t>
  </si>
  <si>
    <t>Рецепт № 631</t>
  </si>
  <si>
    <t>Компот из изюма</t>
  </si>
  <si>
    <t>Рецепт № 932</t>
  </si>
  <si>
    <t>День четвертый</t>
  </si>
  <si>
    <t>День пятый</t>
  </si>
  <si>
    <t>Пюре гороховое с маслом</t>
  </si>
  <si>
    <t>Рецепт № б/н</t>
  </si>
  <si>
    <t>Компот из свежих яблок</t>
  </si>
  <si>
    <t>Рецепт № 394</t>
  </si>
  <si>
    <t>Пряник</t>
  </si>
  <si>
    <t>Рецепт № 12,17</t>
  </si>
  <si>
    <t>Суп картофельный с мясными фрикадельками</t>
  </si>
  <si>
    <t>Рецепт № 123</t>
  </si>
  <si>
    <t>Неделя Вторая</t>
  </si>
  <si>
    <t>Макароны отварные с сыром и маслом сливочным</t>
  </si>
  <si>
    <t>Рецепт № 444</t>
  </si>
  <si>
    <t>Фрукт</t>
  </si>
  <si>
    <t>Тефтели 2 вариант</t>
  </si>
  <si>
    <t>Рецепт № 669</t>
  </si>
  <si>
    <t>Соус красный основной</t>
  </si>
  <si>
    <t>Рецепт № 824</t>
  </si>
  <si>
    <t>Суп молочный с макаронными изделиями</t>
  </si>
  <si>
    <t>Рецепт № 132</t>
  </si>
  <si>
    <t>Гуляш из свинины с соусом</t>
  </si>
  <si>
    <t>Макаронные изделия отварные (гарнирные)</t>
  </si>
  <si>
    <t>Рецепт № 753</t>
  </si>
  <si>
    <t>Салат из белокочанной капусты свежей</t>
  </si>
  <si>
    <t>Каша молочная (вязкая) пшенная с маслом сливочным</t>
  </si>
  <si>
    <t>Рецепт № 323</t>
  </si>
  <si>
    <t>Йогурт</t>
  </si>
  <si>
    <t>Суп картофельный</t>
  </si>
  <si>
    <t>Рецепт № 215</t>
  </si>
  <si>
    <t>Рис отварной</t>
  </si>
  <si>
    <t>Рецепт № 632</t>
  </si>
  <si>
    <t xml:space="preserve">Муниципальное бюджетное общеобразовательное учреждение
Озерненская средняя школа
(МБОУ Озерненская СШ)
</t>
  </si>
  <si>
    <t xml:space="preserve">ПРИМЕРНОЕ ДВУХНЕДЕЛЬНОЕ МЕНЮ
ВОЗРАСТНАЯ КАТЕГОРИЯ: 7-11 лет (ГПД)
</t>
  </si>
  <si>
    <t>Рецепт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</si>
</sst>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20"/>
  <sheetViews>
    <sheetView showGridLines="0" workbookViewId="0">
      <selection activeCell="A10" sqref="A10:B10"/>
    </sheetView>
  </sheetViews>
  <sheetFormatPr defaultRowHeight="15" x14ac:dyDescent="0.25"/>
  <cols>
    <col min="1" max="1" width="18.28515625" customWidth="1"/>
    <col min="2" max="2" width="31.140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12" x14ac:dyDescent="0.25">
      <c r="I2" s="33"/>
      <c r="J2" s="33"/>
      <c r="K2" s="33"/>
      <c r="L2" s="33"/>
    </row>
    <row r="3" spans="1:12" ht="15.75" x14ac:dyDescent="0.25">
      <c r="A3" s="21"/>
      <c r="B3" s="21"/>
      <c r="C3" s="21"/>
      <c r="D3" s="21"/>
      <c r="E3" s="21"/>
      <c r="F3" s="21"/>
      <c r="G3" s="21"/>
      <c r="H3" s="21"/>
      <c r="I3" s="33"/>
      <c r="J3" s="33"/>
      <c r="K3" s="33"/>
      <c r="L3" s="33"/>
    </row>
    <row r="4" spans="1:12" x14ac:dyDescent="0.25">
      <c r="A4" s="22"/>
      <c r="B4" s="22"/>
      <c r="C4" s="22"/>
      <c r="D4" s="22"/>
      <c r="E4" s="22"/>
      <c r="F4" s="22"/>
      <c r="G4" s="22"/>
      <c r="H4" s="22"/>
      <c r="I4" s="33"/>
      <c r="J4" s="33"/>
      <c r="K4" s="33"/>
      <c r="L4" s="33"/>
    </row>
    <row r="5" spans="1:12" ht="31.5" customHeight="1" x14ac:dyDescent="0.25">
      <c r="A5" s="36" t="s">
        <v>91</v>
      </c>
      <c r="B5" s="37"/>
      <c r="C5" s="37"/>
      <c r="D5" s="37"/>
      <c r="E5" s="37"/>
      <c r="F5" s="37"/>
      <c r="G5" s="37"/>
      <c r="H5" s="37"/>
      <c r="I5" s="33"/>
      <c r="J5" s="33"/>
      <c r="K5" s="33"/>
      <c r="L5" s="33"/>
    </row>
    <row r="6" spans="1:12" ht="31.5" customHeight="1" x14ac:dyDescent="0.25">
      <c r="A6" s="31"/>
      <c r="B6" s="32"/>
      <c r="C6" s="32"/>
      <c r="D6" s="32"/>
      <c r="E6" s="32"/>
      <c r="F6" s="32"/>
      <c r="G6" s="32"/>
      <c r="H6" s="32"/>
      <c r="I6" s="33"/>
      <c r="J6" s="33"/>
      <c r="K6" s="33"/>
      <c r="L6" s="33"/>
    </row>
    <row r="7" spans="1:12" ht="31.5" customHeight="1" x14ac:dyDescent="0.25">
      <c r="A7" s="38" t="s">
        <v>92</v>
      </c>
      <c r="B7" s="35"/>
      <c r="C7" s="35"/>
      <c r="D7" s="35"/>
      <c r="E7" s="35"/>
      <c r="F7" s="35"/>
      <c r="G7" s="35"/>
      <c r="H7" s="35"/>
      <c r="I7" s="33"/>
      <c r="J7" s="33"/>
      <c r="K7" s="33"/>
      <c r="L7" s="33"/>
    </row>
    <row r="8" spans="1:12" ht="31.5" customHeight="1" x14ac:dyDescent="0.25">
      <c r="A8" s="35"/>
      <c r="B8" s="35"/>
      <c r="C8" s="35"/>
      <c r="D8" s="35"/>
      <c r="E8" s="35"/>
      <c r="F8" s="35"/>
      <c r="G8" s="35"/>
      <c r="H8" s="35"/>
    </row>
    <row r="9" spans="1:12" ht="31.5" customHeight="1" x14ac:dyDescent="0.25">
      <c r="A9" s="35"/>
      <c r="B9" s="35"/>
      <c r="C9" s="35"/>
      <c r="D9" s="35"/>
      <c r="E9" s="35"/>
      <c r="F9" s="35"/>
      <c r="G9" s="35"/>
      <c r="H9" s="35"/>
    </row>
    <row r="10" spans="1:12" ht="31.5" customHeight="1" x14ac:dyDescent="0.25">
      <c r="A10" s="34"/>
      <c r="B10" s="34"/>
      <c r="C10" s="27"/>
      <c r="D10" s="27"/>
      <c r="E10" s="27"/>
      <c r="F10" s="27"/>
      <c r="G10" s="27"/>
      <c r="H10" s="28"/>
    </row>
    <row r="11" spans="1:12" ht="31.5" customHeight="1" x14ac:dyDescent="0.25">
      <c r="A11" s="35"/>
      <c r="B11" s="23"/>
      <c r="C11" s="24"/>
      <c r="D11" s="25"/>
      <c r="E11" s="25"/>
      <c r="F11" s="25"/>
      <c r="G11" s="25"/>
      <c r="H11" s="24"/>
    </row>
    <row r="12" spans="1:12" ht="31.5" customHeight="1" x14ac:dyDescent="0.25">
      <c r="A12" s="35"/>
      <c r="B12" s="26"/>
      <c r="C12" s="24"/>
      <c r="D12" s="25"/>
      <c r="E12" s="25"/>
      <c r="F12" s="25"/>
      <c r="G12" s="25"/>
      <c r="H12" s="24"/>
    </row>
    <row r="13" spans="1:12" ht="31.5" customHeight="1" x14ac:dyDescent="0.25">
      <c r="A13" s="35"/>
      <c r="B13" s="29"/>
      <c r="C13" s="24"/>
      <c r="D13" s="25"/>
      <c r="E13" s="25"/>
      <c r="F13" s="25"/>
      <c r="G13" s="25"/>
      <c r="H13" s="24"/>
    </row>
    <row r="14" spans="1:12" ht="31.5" customHeight="1" x14ac:dyDescent="0.25">
      <c r="A14" s="35"/>
      <c r="B14" s="26"/>
      <c r="C14" s="24"/>
      <c r="D14" s="25"/>
      <c r="E14" s="25"/>
      <c r="F14" s="25"/>
      <c r="G14" s="25"/>
      <c r="H14" s="24"/>
    </row>
    <row r="15" spans="1:12" ht="31.5" customHeight="1" x14ac:dyDescent="0.25">
      <c r="A15" s="35"/>
      <c r="B15" s="26"/>
      <c r="C15" s="24"/>
      <c r="D15" s="25"/>
      <c r="E15" s="25"/>
      <c r="F15" s="25"/>
      <c r="G15" s="25"/>
      <c r="H15" s="24"/>
    </row>
    <row r="16" spans="1:12" ht="31.5" customHeight="1" x14ac:dyDescent="0.25">
      <c r="A16" s="35"/>
      <c r="B16" s="26"/>
      <c r="C16" s="24"/>
      <c r="D16" s="25"/>
      <c r="E16" s="25"/>
      <c r="F16" s="25"/>
      <c r="G16" s="25"/>
      <c r="H16" s="24"/>
    </row>
    <row r="17" spans="1:8" ht="15.75" x14ac:dyDescent="0.25">
      <c r="A17" s="35"/>
      <c r="B17" s="26"/>
      <c r="C17" s="24"/>
      <c r="D17" s="25"/>
      <c r="E17" s="25"/>
      <c r="F17" s="25"/>
      <c r="G17" s="25"/>
      <c r="H17" s="24"/>
    </row>
    <row r="18" spans="1:8" ht="31.5" customHeight="1" x14ac:dyDescent="0.25">
      <c r="A18" s="34"/>
      <c r="B18" s="34"/>
      <c r="C18" s="27"/>
      <c r="D18" s="27"/>
      <c r="E18" s="27"/>
      <c r="F18" s="27"/>
      <c r="G18" s="27"/>
      <c r="H18" s="30"/>
    </row>
    <row r="19" spans="1:8" ht="31.5" customHeight="1" x14ac:dyDescent="0.25">
      <c r="A19" s="34"/>
      <c r="B19" s="34"/>
      <c r="C19" s="27"/>
      <c r="D19" s="27"/>
      <c r="E19" s="27"/>
      <c r="F19" s="27"/>
      <c r="G19" s="27"/>
      <c r="H19" s="30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</sheetData>
  <mergeCells count="7">
    <mergeCell ref="I2:L7"/>
    <mergeCell ref="A10:B10"/>
    <mergeCell ref="A11:A17"/>
    <mergeCell ref="A18:B18"/>
    <mergeCell ref="A19:B19"/>
    <mergeCell ref="A5:H5"/>
    <mergeCell ref="A7:H9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showGridLines="0" workbookViewId="0">
      <selection activeCell="D18" sqref="D18:G19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70</v>
      </c>
      <c r="B5" s="10" t="s">
        <v>60</v>
      </c>
      <c r="C5" s="44"/>
      <c r="D5" s="44"/>
      <c r="E5" s="44"/>
      <c r="F5" s="44"/>
      <c r="G5" s="44"/>
      <c r="H5" s="45"/>
    </row>
    <row r="6" spans="1:8" ht="31.5" customHeight="1" x14ac:dyDescent="0.25">
      <c r="A6" s="39" t="s">
        <v>14</v>
      </c>
      <c r="B6" s="5" t="s">
        <v>16</v>
      </c>
      <c r="C6" s="3">
        <v>100</v>
      </c>
      <c r="D6" s="4">
        <f>$C6*7.85/100</f>
        <v>7.85</v>
      </c>
      <c r="E6" s="4">
        <f>$C6*6.51/100</f>
        <v>6.51</v>
      </c>
      <c r="F6" s="4">
        <f>$C6*7.89/100</f>
        <v>7.89</v>
      </c>
      <c r="G6" s="4">
        <f>$C6*123/100</f>
        <v>123</v>
      </c>
      <c r="H6" s="15" t="s">
        <v>26</v>
      </c>
    </row>
    <row r="7" spans="1:8" ht="31.5" customHeight="1" x14ac:dyDescent="0.25">
      <c r="A7" s="39"/>
      <c r="B7" s="5" t="s">
        <v>39</v>
      </c>
      <c r="C7" s="3">
        <v>150</v>
      </c>
      <c r="D7" s="4">
        <f>$C7*2.16/100</f>
        <v>3.24</v>
      </c>
      <c r="E7" s="4">
        <f>$C7*3.73/100</f>
        <v>5.5949999999999998</v>
      </c>
      <c r="F7" s="4">
        <f>$C7*14.7/100</f>
        <v>22.05</v>
      </c>
      <c r="G7" s="4">
        <f>$C7*104/100</f>
        <v>156</v>
      </c>
      <c r="H7" s="15" t="s">
        <v>40</v>
      </c>
    </row>
    <row r="8" spans="1:8" ht="31.5" customHeight="1" x14ac:dyDescent="0.25">
      <c r="A8" s="39"/>
      <c r="B8" s="2" t="s">
        <v>83</v>
      </c>
      <c r="C8" s="3">
        <v>60</v>
      </c>
      <c r="D8" s="4">
        <f>$C8*0.92/100</f>
        <v>0.55200000000000005</v>
      </c>
      <c r="E8" s="4">
        <f>$C8*3.04/100</f>
        <v>1.8240000000000001</v>
      </c>
      <c r="F8" s="4">
        <f>$C8*5.42/100</f>
        <v>3.2519999999999998</v>
      </c>
      <c r="G8" s="4">
        <f>$C8*52/100</f>
        <v>31.2</v>
      </c>
      <c r="H8" s="15" t="s">
        <v>40</v>
      </c>
    </row>
    <row r="9" spans="1:8" ht="31.5" customHeight="1" x14ac:dyDescent="0.25">
      <c r="A9" s="39"/>
      <c r="B9" s="5" t="s">
        <v>19</v>
      </c>
      <c r="C9" s="3">
        <v>40</v>
      </c>
      <c r="D9" s="4">
        <f>$C9*5.4/100</f>
        <v>2.16</v>
      </c>
      <c r="E9" s="4">
        <f>$C9*1/100</f>
        <v>0.4</v>
      </c>
      <c r="F9" s="4">
        <f>$C9*44.6/100</f>
        <v>17.84</v>
      </c>
      <c r="G9" s="4">
        <f>$C9*212/100</f>
        <v>84.8</v>
      </c>
      <c r="H9" s="15" t="s">
        <v>23</v>
      </c>
    </row>
    <row r="10" spans="1:8" ht="31.5" customHeight="1" x14ac:dyDescent="0.25">
      <c r="A10" s="39"/>
      <c r="B10" s="5" t="s">
        <v>58</v>
      </c>
      <c r="C10" s="3">
        <v>200</v>
      </c>
      <c r="D10" s="4">
        <f>$C10*0.41/100</f>
        <v>0.82</v>
      </c>
      <c r="E10" s="4">
        <f>$C10*0/100</f>
        <v>0</v>
      </c>
      <c r="F10" s="4">
        <f>$C10*25.16/100</f>
        <v>50.32</v>
      </c>
      <c r="G10" s="4">
        <f>$C10*98/100</f>
        <v>196</v>
      </c>
      <c r="H10" s="15" t="s">
        <v>59</v>
      </c>
    </row>
    <row r="11" spans="1:8" ht="31.5" customHeight="1" x14ac:dyDescent="0.25">
      <c r="A11" s="40" t="s">
        <v>13</v>
      </c>
      <c r="B11" s="41"/>
      <c r="C11" s="6">
        <f>SUM(C6:C10)</f>
        <v>550</v>
      </c>
      <c r="D11" s="46">
        <f>SUM(D6:D10)</f>
        <v>14.622</v>
      </c>
      <c r="E11" s="46">
        <f>SUM(E6:E10)</f>
        <v>14.329000000000001</v>
      </c>
      <c r="F11" s="46">
        <f>SUM(F6:F10)</f>
        <v>101.352</v>
      </c>
      <c r="G11" s="46">
        <f>SUM(G6:G10)</f>
        <v>591</v>
      </c>
      <c r="H11" s="16"/>
    </row>
    <row r="12" spans="1:8" ht="31.5" customHeight="1" x14ac:dyDescent="0.25">
      <c r="A12" s="39" t="s">
        <v>29</v>
      </c>
      <c r="B12" s="2" t="s">
        <v>54</v>
      </c>
      <c r="C12" s="3">
        <v>255</v>
      </c>
      <c r="D12" s="4">
        <f>$C12*1.97/100</f>
        <v>5.0234999999999994</v>
      </c>
      <c r="E12" s="4">
        <f>$C12*5.32/100</f>
        <v>13.566000000000001</v>
      </c>
      <c r="F12" s="4">
        <f>$C12*9.33/100</f>
        <v>23.791499999999999</v>
      </c>
      <c r="G12" s="4">
        <f>$C12*94/100</f>
        <v>239.7</v>
      </c>
      <c r="H12" s="15" t="s">
        <v>55</v>
      </c>
    </row>
    <row r="13" spans="1:8" ht="31.5" customHeight="1" x14ac:dyDescent="0.25">
      <c r="A13" s="39"/>
      <c r="B13" s="2" t="s">
        <v>33</v>
      </c>
      <c r="C13" s="3">
        <v>100</v>
      </c>
      <c r="D13" s="4">
        <f>$C$7*7.98/100</f>
        <v>11.97</v>
      </c>
      <c r="E13" s="4">
        <f>$C$7*6.93/100</f>
        <v>10.395</v>
      </c>
      <c r="F13" s="4">
        <f>$C$7*4.47/100</f>
        <v>6.7050000000000001</v>
      </c>
      <c r="G13" s="4">
        <f>$C$7*113/100</f>
        <v>169.5</v>
      </c>
      <c r="H13" s="15" t="s">
        <v>34</v>
      </c>
    </row>
    <row r="14" spans="1:8" ht="31.5" customHeight="1" x14ac:dyDescent="0.25">
      <c r="A14" s="39"/>
      <c r="B14" s="5" t="s">
        <v>39</v>
      </c>
      <c r="C14" s="3">
        <v>150</v>
      </c>
      <c r="D14" s="4">
        <f>$C14*2.16/100</f>
        <v>3.24</v>
      </c>
      <c r="E14" s="4">
        <f>$C14*3.73/100</f>
        <v>5.5949999999999998</v>
      </c>
      <c r="F14" s="4">
        <f>$C14*14.7/100</f>
        <v>22.05</v>
      </c>
      <c r="G14" s="4">
        <f>$C14*104/100</f>
        <v>156</v>
      </c>
      <c r="H14" s="15" t="s">
        <v>40</v>
      </c>
    </row>
    <row r="15" spans="1:8" ht="31.5" customHeight="1" x14ac:dyDescent="0.25">
      <c r="A15" s="39"/>
      <c r="B15" s="5" t="s">
        <v>46</v>
      </c>
      <c r="C15" s="3">
        <v>222</v>
      </c>
      <c r="D15" s="4">
        <f>$C15*0.26/100</f>
        <v>0.57719999999999994</v>
      </c>
      <c r="E15" s="4">
        <f>$C15*0.05/100</f>
        <v>0.11100000000000002</v>
      </c>
      <c r="F15" s="4">
        <f>$C15*15.22/100</f>
        <v>33.788400000000003</v>
      </c>
      <c r="G15" s="4">
        <f>$C15*59/100</f>
        <v>130.97999999999999</v>
      </c>
      <c r="H15" s="15" t="s">
        <v>47</v>
      </c>
    </row>
    <row r="16" spans="1:8" ht="31.5" customHeight="1" x14ac:dyDescent="0.25">
      <c r="A16" s="39"/>
      <c r="B16" s="5" t="s">
        <v>20</v>
      </c>
      <c r="C16" s="3">
        <v>30</v>
      </c>
      <c r="D16" s="4">
        <f>$C16*7.5/100</f>
        <v>2.25</v>
      </c>
      <c r="E16" s="4">
        <f>$C16*2.9/100</f>
        <v>0.87</v>
      </c>
      <c r="F16" s="4">
        <f>$C16*50.7/100</f>
        <v>15.21</v>
      </c>
      <c r="G16" s="4">
        <f>$C16*264/100</f>
        <v>79.2</v>
      </c>
      <c r="H16" s="15" t="s">
        <v>23</v>
      </c>
    </row>
    <row r="17" spans="1:8" ht="31.5" customHeight="1" x14ac:dyDescent="0.25">
      <c r="A17" s="39"/>
      <c r="B17" s="5" t="s">
        <v>19</v>
      </c>
      <c r="C17" s="3">
        <v>40</v>
      </c>
      <c r="D17" s="4">
        <f>$C17*5.4/100</f>
        <v>2.16</v>
      </c>
      <c r="E17" s="4">
        <f>$C17*1/100</f>
        <v>0.4</v>
      </c>
      <c r="F17" s="4">
        <f>$C17*44.6/100</f>
        <v>17.84</v>
      </c>
      <c r="G17" s="4">
        <f>$C17*212/100</f>
        <v>84.8</v>
      </c>
      <c r="H17" s="15" t="s">
        <v>23</v>
      </c>
    </row>
    <row r="18" spans="1:8" ht="31.5" customHeight="1" x14ac:dyDescent="0.25">
      <c r="A18" s="40" t="s">
        <v>27</v>
      </c>
      <c r="B18" s="41"/>
      <c r="C18" s="6">
        <f>SUM(C12:C17)</f>
        <v>797</v>
      </c>
      <c r="D18" s="46">
        <f>SUM(D12:D17)</f>
        <v>25.220700000000001</v>
      </c>
      <c r="E18" s="46">
        <f>SUM(E12:E17)</f>
        <v>30.936999999999998</v>
      </c>
      <c r="F18" s="46">
        <f>SUM(F12:F17)</f>
        <v>119.38490000000002</v>
      </c>
      <c r="G18" s="46">
        <f>SUM(G12:G17)</f>
        <v>860.18000000000006</v>
      </c>
      <c r="H18" s="17"/>
    </row>
    <row r="19" spans="1:8" ht="31.5" customHeight="1" thickBot="1" x14ac:dyDescent="0.3">
      <c r="A19" s="42" t="s">
        <v>28</v>
      </c>
      <c r="B19" s="43"/>
      <c r="C19" s="18">
        <f>C11+C18</f>
        <v>1347</v>
      </c>
      <c r="D19" s="47">
        <f>D11+D18</f>
        <v>39.842700000000001</v>
      </c>
      <c r="E19" s="47">
        <f>E11+E18</f>
        <v>45.265999999999998</v>
      </c>
      <c r="F19" s="47">
        <f>F11+F18</f>
        <v>220.73690000000002</v>
      </c>
      <c r="G19" s="47">
        <f>G11+G18</f>
        <v>1451.18</v>
      </c>
      <c r="H19" s="19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</sheetData>
  <mergeCells count="6">
    <mergeCell ref="A19:B19"/>
    <mergeCell ref="C5:H5"/>
    <mergeCell ref="A6:A10"/>
    <mergeCell ref="A11:B11"/>
    <mergeCell ref="A12:A17"/>
    <mergeCell ref="A18:B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tabSelected="1" workbookViewId="0">
      <selection activeCell="O13" sqref="O13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70</v>
      </c>
      <c r="B5" s="10" t="s">
        <v>61</v>
      </c>
      <c r="C5" s="44"/>
      <c r="D5" s="44"/>
      <c r="E5" s="44"/>
      <c r="F5" s="44"/>
      <c r="G5" s="44"/>
      <c r="H5" s="45"/>
    </row>
    <row r="6" spans="1:8" ht="31.5" customHeight="1" x14ac:dyDescent="0.25">
      <c r="A6" s="39" t="s">
        <v>14</v>
      </c>
      <c r="B6" s="2" t="s">
        <v>84</v>
      </c>
      <c r="C6" s="3">
        <v>210</v>
      </c>
      <c r="D6" s="4">
        <f>$C6*4.09/100</f>
        <v>8.5890000000000004</v>
      </c>
      <c r="E6" s="4">
        <f>$C6*6.4/100</f>
        <v>13.44</v>
      </c>
      <c r="F6" s="4">
        <f>$C6*21.23/100</f>
        <v>44.582999999999998</v>
      </c>
      <c r="G6" s="4">
        <f>$C6*159/100</f>
        <v>333.9</v>
      </c>
      <c r="H6" s="15" t="s">
        <v>85</v>
      </c>
    </row>
    <row r="7" spans="1:8" ht="31.5" customHeight="1" x14ac:dyDescent="0.25">
      <c r="A7" s="39"/>
      <c r="B7" s="5" t="s">
        <v>46</v>
      </c>
      <c r="C7" s="3">
        <v>222</v>
      </c>
      <c r="D7" s="4">
        <f>$C7*0.26/100</f>
        <v>0.57719999999999994</v>
      </c>
      <c r="E7" s="4">
        <f>$C7*0.05/100</f>
        <v>0.11100000000000002</v>
      </c>
      <c r="F7" s="4">
        <f>$C7*15.22/100</f>
        <v>33.788400000000003</v>
      </c>
      <c r="G7" s="4">
        <f>$C7*59/100</f>
        <v>130.97999999999999</v>
      </c>
      <c r="H7" s="15" t="s">
        <v>47</v>
      </c>
    </row>
    <row r="8" spans="1:8" ht="31.5" customHeight="1" x14ac:dyDescent="0.25">
      <c r="A8" s="39"/>
      <c r="B8" s="5" t="s">
        <v>20</v>
      </c>
      <c r="C8" s="3">
        <v>20</v>
      </c>
      <c r="D8" s="4">
        <f>$C8*7.5/100</f>
        <v>1.5</v>
      </c>
      <c r="E8" s="4">
        <f>$C8*2.9/100</f>
        <v>0.57999999999999996</v>
      </c>
      <c r="F8" s="4">
        <f>$C8*50.7/100</f>
        <v>10.14</v>
      </c>
      <c r="G8" s="4">
        <f>$C8*264/100</f>
        <v>52.8</v>
      </c>
      <c r="H8" s="15" t="s">
        <v>23</v>
      </c>
    </row>
    <row r="9" spans="1:8" ht="31.5" customHeight="1" x14ac:dyDescent="0.25">
      <c r="A9" s="39"/>
      <c r="B9" s="5" t="s">
        <v>86</v>
      </c>
      <c r="C9" s="3">
        <v>95</v>
      </c>
      <c r="D9" s="4">
        <f>$C9*2.4/100</f>
        <v>2.2799999999999998</v>
      </c>
      <c r="E9" s="4">
        <f>$C9*1.14/100</f>
        <v>1.083</v>
      </c>
      <c r="F9" s="4">
        <f>$C9*15.2/100</f>
        <v>14.44</v>
      </c>
      <c r="G9" s="4">
        <f>$C9*80.75/100</f>
        <v>76.712500000000006</v>
      </c>
      <c r="H9" s="15" t="s">
        <v>22</v>
      </c>
    </row>
    <row r="10" spans="1:8" ht="31.5" customHeight="1" x14ac:dyDescent="0.25">
      <c r="A10" s="40" t="s">
        <v>13</v>
      </c>
      <c r="B10" s="41"/>
      <c r="C10" s="6">
        <f>SUM(C6:C9)</f>
        <v>547</v>
      </c>
      <c r="D10" s="46">
        <f>SUM(D6:D9)</f>
        <v>12.946199999999999</v>
      </c>
      <c r="E10" s="46">
        <f>SUM(E6:E9)</f>
        <v>15.214</v>
      </c>
      <c r="F10" s="46">
        <f>SUM(F6:F9)</f>
        <v>102.95139999999999</v>
      </c>
      <c r="G10" s="46">
        <f>SUM(G6:G9)</f>
        <v>594.39249999999993</v>
      </c>
      <c r="H10" s="16"/>
    </row>
    <row r="11" spans="1:8" ht="31.5" customHeight="1" x14ac:dyDescent="0.25">
      <c r="A11" s="39" t="s">
        <v>29</v>
      </c>
      <c r="B11" s="2" t="s">
        <v>87</v>
      </c>
      <c r="C11" s="3">
        <v>250</v>
      </c>
      <c r="D11" s="4">
        <f>$C11*2.54/100</f>
        <v>6.35</v>
      </c>
      <c r="E11" s="4">
        <f>$C11*4.58/100</f>
        <v>11.45</v>
      </c>
      <c r="F11" s="4">
        <f>$C11*20/100</f>
        <v>50</v>
      </c>
      <c r="G11" s="4">
        <f>$C11*135/100</f>
        <v>337.5</v>
      </c>
      <c r="H11" s="15" t="s">
        <v>88</v>
      </c>
    </row>
    <row r="12" spans="1:8" ht="31.5" customHeight="1" x14ac:dyDescent="0.25">
      <c r="A12" s="39"/>
      <c r="B12" s="2" t="s">
        <v>42</v>
      </c>
      <c r="C12" s="3">
        <v>100</v>
      </c>
      <c r="D12" s="4">
        <f>$C$7*16.79/100</f>
        <v>37.273799999999994</v>
      </c>
      <c r="E12" s="4">
        <f>$C$7*10.93/100</f>
        <v>24.264600000000002</v>
      </c>
      <c r="F12" s="4">
        <f>$C$7*5.64/100</f>
        <v>12.520799999999999</v>
      </c>
      <c r="G12" s="4">
        <f>$C$7*188/100</f>
        <v>417.36</v>
      </c>
      <c r="H12" s="15" t="s">
        <v>34</v>
      </c>
    </row>
    <row r="13" spans="1:8" ht="31.5" customHeight="1" x14ac:dyDescent="0.25">
      <c r="A13" s="39"/>
      <c r="B13" s="2" t="s">
        <v>81</v>
      </c>
      <c r="C13" s="3">
        <v>150</v>
      </c>
      <c r="D13" s="4">
        <f>$C13*3.65/100</f>
        <v>5.4749999999999996</v>
      </c>
      <c r="E13" s="4">
        <f>$C13*3.32/100</f>
        <v>4.9800000000000004</v>
      </c>
      <c r="F13" s="4">
        <f>$C13*23.25/100</f>
        <v>34.875</v>
      </c>
      <c r="G13" s="4">
        <f>$C13*141/100</f>
        <v>211.5</v>
      </c>
      <c r="H13" s="15" t="s">
        <v>82</v>
      </c>
    </row>
    <row r="14" spans="1:8" ht="31.5" customHeight="1" x14ac:dyDescent="0.25">
      <c r="A14" s="39"/>
      <c r="B14" s="20" t="s">
        <v>17</v>
      </c>
      <c r="C14" s="3">
        <v>5</v>
      </c>
      <c r="D14" s="4">
        <f>$C14*0.5/100</f>
        <v>2.5000000000000001E-2</v>
      </c>
      <c r="E14" s="4">
        <f>$C14*82.5/100</f>
        <v>4.125</v>
      </c>
      <c r="F14" s="4">
        <f>$C14*0.8/100</f>
        <v>0.04</v>
      </c>
      <c r="G14" s="4">
        <f>$C14*748/100</f>
        <v>37.4</v>
      </c>
      <c r="H14" s="15" t="s">
        <v>47</v>
      </c>
    </row>
    <row r="15" spans="1:8" ht="31.5" customHeight="1" x14ac:dyDescent="0.25">
      <c r="A15" s="39"/>
      <c r="B15" s="5" t="s">
        <v>18</v>
      </c>
      <c r="C15" s="11">
        <v>215</v>
      </c>
      <c r="D15" s="4">
        <f>$C15*0.2/100</f>
        <v>0.43</v>
      </c>
      <c r="E15" s="4">
        <f>$C15*0.05/100</f>
        <v>0.1075</v>
      </c>
      <c r="F15" s="4">
        <f>$C15*15.01/100</f>
        <v>32.271500000000003</v>
      </c>
      <c r="G15" s="4">
        <f>$C15*57/100</f>
        <v>122.55</v>
      </c>
      <c r="H15" s="15" t="s">
        <v>25</v>
      </c>
    </row>
    <row r="16" spans="1:8" ht="31.5" customHeight="1" x14ac:dyDescent="0.25">
      <c r="A16" s="39"/>
      <c r="B16" s="5" t="s">
        <v>19</v>
      </c>
      <c r="C16" s="3">
        <v>40</v>
      </c>
      <c r="D16" s="4">
        <f>$C16*5.4/100</f>
        <v>2.16</v>
      </c>
      <c r="E16" s="4">
        <f>$C16*1/100</f>
        <v>0.4</v>
      </c>
      <c r="F16" s="4">
        <f>$C16*44.6/100</f>
        <v>17.84</v>
      </c>
      <c r="G16" s="4">
        <f>$C16*212/100</f>
        <v>84.8</v>
      </c>
      <c r="H16" s="15" t="s">
        <v>23</v>
      </c>
    </row>
    <row r="17" spans="1:8" ht="31.5" customHeight="1" x14ac:dyDescent="0.25">
      <c r="A17" s="40" t="s">
        <v>27</v>
      </c>
      <c r="B17" s="41"/>
      <c r="C17" s="6">
        <f>SUM(C11:C16)</f>
        <v>760</v>
      </c>
      <c r="D17" s="46">
        <f>SUM(D11:D16)</f>
        <v>51.713799999999992</v>
      </c>
      <c r="E17" s="46">
        <f>SUM(E11:E16)</f>
        <v>45.327100000000009</v>
      </c>
      <c r="F17" s="46">
        <f>SUM(F11:F16)</f>
        <v>147.54730000000004</v>
      </c>
      <c r="G17" s="46">
        <f>SUM(G11:G16)</f>
        <v>1211.1099999999999</v>
      </c>
      <c r="H17" s="17"/>
    </row>
    <row r="18" spans="1:8" ht="31.5" customHeight="1" thickBot="1" x14ac:dyDescent="0.3">
      <c r="A18" s="42" t="s">
        <v>28</v>
      </c>
      <c r="B18" s="43"/>
      <c r="C18" s="18">
        <f>C10+C17</f>
        <v>1307</v>
      </c>
      <c r="D18" s="47">
        <f>D10+D17</f>
        <v>64.66</v>
      </c>
      <c r="E18" s="47">
        <f>E10+E17</f>
        <v>60.541100000000007</v>
      </c>
      <c r="F18" s="47">
        <f>F10+F17</f>
        <v>250.49870000000004</v>
      </c>
      <c r="G18" s="47">
        <f>G10+G17</f>
        <v>1805.5024999999998</v>
      </c>
      <c r="H18" s="19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</sheetData>
  <mergeCells count="6">
    <mergeCell ref="A18:B18"/>
    <mergeCell ref="C5:H5"/>
    <mergeCell ref="A6:A9"/>
    <mergeCell ref="A10:B10"/>
    <mergeCell ref="A11:A16"/>
    <mergeCell ref="A17:B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M13" sqref="M13"/>
    </sheetView>
  </sheetViews>
  <sheetFormatPr defaultRowHeight="15" x14ac:dyDescent="0.25"/>
  <cols>
    <col min="1" max="1" width="18.28515625" customWidth="1"/>
    <col min="2" max="2" width="31.140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8</v>
      </c>
      <c r="B5" s="10" t="s">
        <v>9</v>
      </c>
      <c r="C5" s="44"/>
      <c r="D5" s="44"/>
      <c r="E5" s="44"/>
      <c r="F5" s="44"/>
      <c r="G5" s="44"/>
      <c r="H5" s="45"/>
    </row>
    <row r="6" spans="1:8" ht="31.5" customHeight="1" x14ac:dyDescent="0.25">
      <c r="A6" s="39" t="s">
        <v>14</v>
      </c>
      <c r="B6" s="2" t="s">
        <v>10</v>
      </c>
      <c r="C6" s="3">
        <v>210</v>
      </c>
      <c r="D6" s="4">
        <f>$C$6*3.7/100</f>
        <v>7.77</v>
      </c>
      <c r="E6" s="4">
        <f>$C$6*6.97/100</f>
        <v>14.637</v>
      </c>
      <c r="F6" s="4">
        <f>$C$6*15.98/100</f>
        <v>33.558</v>
      </c>
      <c r="G6" s="4">
        <f>$C$6*142/100</f>
        <v>298.2</v>
      </c>
      <c r="H6" s="15" t="s">
        <v>21</v>
      </c>
    </row>
    <row r="7" spans="1:8" ht="31.5" customHeight="1" x14ac:dyDescent="0.25">
      <c r="A7" s="39"/>
      <c r="B7" s="5" t="s">
        <v>11</v>
      </c>
      <c r="C7" s="3">
        <v>200</v>
      </c>
      <c r="D7" s="4">
        <f>$C$7*0/100</f>
        <v>0</v>
      </c>
      <c r="E7" s="4">
        <f>$C$7*0/100</f>
        <v>0</v>
      </c>
      <c r="F7" s="4">
        <f>$C$7*11.2/100</f>
        <v>22.4</v>
      </c>
      <c r="G7" s="4">
        <f>$C$7*45/100</f>
        <v>90</v>
      </c>
      <c r="H7" s="15" t="s">
        <v>22</v>
      </c>
    </row>
    <row r="8" spans="1:8" ht="31.5" customHeight="1" x14ac:dyDescent="0.25">
      <c r="A8" s="39"/>
      <c r="B8" s="5" t="s">
        <v>12</v>
      </c>
      <c r="C8" s="3">
        <v>100</v>
      </c>
      <c r="D8" s="4">
        <f>$C$8*6.5/100</f>
        <v>6.5</v>
      </c>
      <c r="E8" s="4">
        <f>$C$8*4.2/100</f>
        <v>4.2</v>
      </c>
      <c r="F8" s="4">
        <f>$C$8*37.6/100</f>
        <v>37.6</v>
      </c>
      <c r="G8" s="4">
        <f>$C$8*293/100</f>
        <v>293</v>
      </c>
      <c r="H8" s="15" t="s">
        <v>23</v>
      </c>
    </row>
    <row r="9" spans="1:8" ht="31.5" customHeight="1" x14ac:dyDescent="0.25">
      <c r="A9" s="40" t="s">
        <v>13</v>
      </c>
      <c r="B9" s="41"/>
      <c r="C9" s="6">
        <f>SUM(C6:C8)</f>
        <v>510</v>
      </c>
      <c r="D9" s="46">
        <f>SUM(D6:D8)</f>
        <v>14.27</v>
      </c>
      <c r="E9" s="46">
        <f>SUM(E6:E8)</f>
        <v>18.837</v>
      </c>
      <c r="F9" s="46">
        <f>SUM(F6:F8)</f>
        <v>93.557999999999993</v>
      </c>
      <c r="G9" s="46">
        <f>SUM(G6:G8)</f>
        <v>681.2</v>
      </c>
      <c r="H9" s="16"/>
    </row>
    <row r="10" spans="1:8" ht="31.5" customHeight="1" x14ac:dyDescent="0.25">
      <c r="A10" s="39" t="s">
        <v>29</v>
      </c>
      <c r="B10" s="2" t="s">
        <v>15</v>
      </c>
      <c r="C10" s="3">
        <v>250</v>
      </c>
      <c r="D10" s="4">
        <f>$C10*5.48/100</f>
        <v>13.7</v>
      </c>
      <c r="E10" s="4">
        <f>$C10*4.74/100</f>
        <v>11.85</v>
      </c>
      <c r="F10" s="4">
        <f>$C10*19.74/100</f>
        <v>49.35</v>
      </c>
      <c r="G10" s="4">
        <f>$C10*146/100</f>
        <v>365</v>
      </c>
      <c r="H10" s="15" t="s">
        <v>24</v>
      </c>
    </row>
    <row r="11" spans="1:8" ht="31.5" customHeight="1" x14ac:dyDescent="0.25">
      <c r="A11" s="39"/>
      <c r="B11" s="5" t="s">
        <v>16</v>
      </c>
      <c r="C11" s="3">
        <v>100</v>
      </c>
      <c r="D11" s="4">
        <f>$C11*7.85/100</f>
        <v>7.85</v>
      </c>
      <c r="E11" s="4">
        <f>$C11*6.51/100</f>
        <v>6.51</v>
      </c>
      <c r="F11" s="4">
        <f>$C11*7.89/100</f>
        <v>7.89</v>
      </c>
      <c r="G11" s="4">
        <f>$C11*123/100</f>
        <v>123</v>
      </c>
      <c r="H11" s="15" t="s">
        <v>26</v>
      </c>
    </row>
    <row r="12" spans="1:8" ht="31.5" customHeight="1" x14ac:dyDescent="0.25">
      <c r="A12" s="39"/>
      <c r="B12" s="20" t="s">
        <v>17</v>
      </c>
      <c r="C12" s="3">
        <v>5</v>
      </c>
      <c r="D12" s="4">
        <f>$C12*0.5/100</f>
        <v>2.5000000000000001E-2</v>
      </c>
      <c r="E12" s="4">
        <f>$C12*82.5/100</f>
        <v>4.125</v>
      </c>
      <c r="F12" s="4">
        <f>$C12*0.8/100</f>
        <v>0.04</v>
      </c>
      <c r="G12" s="4">
        <f>$C12*748/100</f>
        <v>37.4</v>
      </c>
      <c r="H12" s="15" t="s">
        <v>47</v>
      </c>
    </row>
    <row r="13" spans="1:8" ht="31.5" customHeight="1" x14ac:dyDescent="0.25">
      <c r="A13" s="39"/>
      <c r="B13" s="5" t="s">
        <v>89</v>
      </c>
      <c r="C13" s="3">
        <v>150</v>
      </c>
      <c r="D13" s="4">
        <f>$C13*2.54/100</f>
        <v>3.81</v>
      </c>
      <c r="E13" s="4">
        <f>$C13*4.07/100</f>
        <v>6.1050000000000004</v>
      </c>
      <c r="F13" s="4">
        <f>$C13*25.74/100</f>
        <v>38.609999999999992</v>
      </c>
      <c r="G13" s="4">
        <f>$C13*152/100</f>
        <v>228</v>
      </c>
      <c r="H13" s="15" t="s">
        <v>21</v>
      </c>
    </row>
    <row r="14" spans="1:8" ht="31.5" customHeight="1" x14ac:dyDescent="0.25">
      <c r="A14" s="39"/>
      <c r="B14" s="5" t="s">
        <v>18</v>
      </c>
      <c r="C14" s="3">
        <v>215</v>
      </c>
      <c r="D14" s="4">
        <f>$C14*0.2/100</f>
        <v>0.43</v>
      </c>
      <c r="E14" s="4">
        <f>$C14*0.05/100</f>
        <v>0.1075</v>
      </c>
      <c r="F14" s="4">
        <f>$C14*15.01/100</f>
        <v>32.271500000000003</v>
      </c>
      <c r="G14" s="4">
        <f>$C14*57/100</f>
        <v>122.55</v>
      </c>
      <c r="H14" s="15" t="s">
        <v>25</v>
      </c>
    </row>
    <row r="15" spans="1:8" ht="31.5" customHeight="1" x14ac:dyDescent="0.25">
      <c r="A15" s="39"/>
      <c r="B15" s="5" t="s">
        <v>19</v>
      </c>
      <c r="C15" s="3">
        <v>40</v>
      </c>
      <c r="D15" s="4">
        <f>$C15*5.4/100</f>
        <v>2.16</v>
      </c>
      <c r="E15" s="4">
        <f>$C15*1/100</f>
        <v>0.4</v>
      </c>
      <c r="F15" s="4">
        <f>$C15*44.6/100</f>
        <v>17.84</v>
      </c>
      <c r="G15" s="4">
        <f>$C15*212/100</f>
        <v>84.8</v>
      </c>
      <c r="H15" s="15" t="s">
        <v>23</v>
      </c>
    </row>
    <row r="16" spans="1:8" ht="15.75" x14ac:dyDescent="0.25">
      <c r="A16" s="39"/>
      <c r="B16" s="5" t="s">
        <v>20</v>
      </c>
      <c r="C16" s="3">
        <v>40</v>
      </c>
      <c r="D16" s="4">
        <f>$C16*7.5/100</f>
        <v>3</v>
      </c>
      <c r="E16" s="4">
        <f>$C16*2.9/100</f>
        <v>1.1599999999999999</v>
      </c>
      <c r="F16" s="4">
        <f>$C16*50.7/100</f>
        <v>20.28</v>
      </c>
      <c r="G16" s="4">
        <f>$C16*264/100</f>
        <v>105.6</v>
      </c>
      <c r="H16" s="15" t="s">
        <v>23</v>
      </c>
    </row>
    <row r="17" spans="1:8" ht="31.5" customHeight="1" x14ac:dyDescent="0.25">
      <c r="A17" s="40" t="s">
        <v>27</v>
      </c>
      <c r="B17" s="41"/>
      <c r="C17" s="6">
        <f>SUM(C10:C16)</f>
        <v>800</v>
      </c>
      <c r="D17" s="46">
        <f>SUM(D10:D16)</f>
        <v>30.974999999999994</v>
      </c>
      <c r="E17" s="46">
        <f>SUM(E10:E16)</f>
        <v>30.2575</v>
      </c>
      <c r="F17" s="46">
        <f>SUM(F10:F16)</f>
        <v>166.28149999999999</v>
      </c>
      <c r="G17" s="46">
        <f>SUM(G10:G16)</f>
        <v>1066.3499999999999</v>
      </c>
      <c r="H17" s="17"/>
    </row>
    <row r="18" spans="1:8" ht="31.5" customHeight="1" thickBot="1" x14ac:dyDescent="0.3">
      <c r="A18" s="42" t="s">
        <v>28</v>
      </c>
      <c r="B18" s="43"/>
      <c r="C18" s="18">
        <f>C9+C17</f>
        <v>1310</v>
      </c>
      <c r="D18" s="47">
        <f t="shared" ref="D18:G18" si="0">D9+D17</f>
        <v>45.24499999999999</v>
      </c>
      <c r="E18" s="47">
        <f t="shared" si="0"/>
        <v>49.094499999999996</v>
      </c>
      <c r="F18" s="47">
        <f t="shared" si="0"/>
        <v>259.83949999999999</v>
      </c>
      <c r="G18" s="47">
        <f t="shared" si="0"/>
        <v>1747.55</v>
      </c>
      <c r="H18" s="19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</sheetData>
  <mergeCells count="6">
    <mergeCell ref="C5:H5"/>
    <mergeCell ref="A6:A8"/>
    <mergeCell ref="A9:B9"/>
    <mergeCell ref="A17:B17"/>
    <mergeCell ref="A10:A16"/>
    <mergeCell ref="A18:B1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showGridLines="0" workbookViewId="0">
      <selection activeCell="D19" sqref="D19:G20"/>
    </sheetView>
  </sheetViews>
  <sheetFormatPr defaultRowHeight="15" x14ac:dyDescent="0.25"/>
  <cols>
    <col min="1" max="1" width="18.28515625" customWidth="1"/>
    <col min="2" max="2" width="32.28515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8</v>
      </c>
      <c r="B5" s="10" t="s">
        <v>30</v>
      </c>
      <c r="C5" s="44"/>
      <c r="D5" s="44"/>
      <c r="E5" s="44"/>
      <c r="F5" s="44"/>
      <c r="G5" s="44"/>
      <c r="H5" s="45"/>
    </row>
    <row r="6" spans="1:8" ht="31.5" customHeight="1" x14ac:dyDescent="0.25">
      <c r="A6" s="39" t="s">
        <v>14</v>
      </c>
      <c r="B6" s="2" t="s">
        <v>31</v>
      </c>
      <c r="C6" s="3">
        <v>150</v>
      </c>
      <c r="D6" s="4">
        <f>$C$6*12.58/100</f>
        <v>18.87</v>
      </c>
      <c r="E6" s="4">
        <f>$C$6*30.24/100</f>
        <v>45.36</v>
      </c>
      <c r="F6" s="4">
        <f>$C$6*56.14/100</f>
        <v>84.21</v>
      </c>
      <c r="G6" s="4">
        <f>$C$6*148.5/100</f>
        <v>222.75</v>
      </c>
      <c r="H6" s="15" t="s">
        <v>32</v>
      </c>
    </row>
    <row r="7" spans="1:8" ht="31.5" customHeight="1" x14ac:dyDescent="0.25">
      <c r="A7" s="39"/>
      <c r="B7" s="20" t="s">
        <v>17</v>
      </c>
      <c r="C7" s="11">
        <v>5</v>
      </c>
      <c r="D7" s="4">
        <f>$C7*0.5/100</f>
        <v>2.5000000000000001E-2</v>
      </c>
      <c r="E7" s="4">
        <f>$C7*82.5/100</f>
        <v>4.125</v>
      </c>
      <c r="F7" s="4">
        <f>$C7*0.8/100</f>
        <v>0.04</v>
      </c>
      <c r="G7" s="4">
        <f>$C7*748/100</f>
        <v>37.4</v>
      </c>
      <c r="H7" s="15" t="s">
        <v>93</v>
      </c>
    </row>
    <row r="8" spans="1:8" ht="31.5" customHeight="1" x14ac:dyDescent="0.25">
      <c r="A8" s="39"/>
      <c r="B8" s="2" t="s">
        <v>33</v>
      </c>
      <c r="C8" s="3">
        <v>100</v>
      </c>
      <c r="D8" s="4">
        <f>$C$8*7.98/100</f>
        <v>7.98</v>
      </c>
      <c r="E8" s="4">
        <f>$C$8*6.93/100</f>
        <v>6.93</v>
      </c>
      <c r="F8" s="4">
        <f>$C$8*4.47/100</f>
        <v>4.47</v>
      </c>
      <c r="G8" s="4">
        <f>$C$8*113/100</f>
        <v>113</v>
      </c>
      <c r="H8" s="15" t="s">
        <v>34</v>
      </c>
    </row>
    <row r="9" spans="1:8" ht="31.5" customHeight="1" x14ac:dyDescent="0.25">
      <c r="A9" s="39"/>
      <c r="B9" s="2" t="s">
        <v>35</v>
      </c>
      <c r="C9" s="3">
        <v>60</v>
      </c>
      <c r="D9" s="4">
        <f>$C$9*0.4/100</f>
        <v>0.24</v>
      </c>
      <c r="E9" s="4">
        <f>$C$9*0.05/100</f>
        <v>0.03</v>
      </c>
      <c r="F9" s="4">
        <f>$C$9*1.3/100</f>
        <v>0.78</v>
      </c>
      <c r="G9" s="4">
        <f>$C$9*7/100</f>
        <v>4.2</v>
      </c>
      <c r="H9" s="15" t="s">
        <v>36</v>
      </c>
    </row>
    <row r="10" spans="1:8" ht="31.5" customHeight="1" x14ac:dyDescent="0.25">
      <c r="A10" s="39"/>
      <c r="B10" s="5" t="s">
        <v>18</v>
      </c>
      <c r="C10" s="3">
        <v>215</v>
      </c>
      <c r="D10" s="4">
        <f>$C$10*0.2/100</f>
        <v>0.43</v>
      </c>
      <c r="E10" s="4">
        <f>$C$10*0.05/100</f>
        <v>0.1075</v>
      </c>
      <c r="F10" s="4">
        <f>$C$10*15.01/100</f>
        <v>32.271500000000003</v>
      </c>
      <c r="G10" s="4">
        <f>$C$10*57/100</f>
        <v>122.55</v>
      </c>
      <c r="H10" s="15" t="s">
        <v>25</v>
      </c>
    </row>
    <row r="11" spans="1:8" ht="31.5" customHeight="1" x14ac:dyDescent="0.25">
      <c r="A11" s="39"/>
      <c r="B11" s="5" t="s">
        <v>19</v>
      </c>
      <c r="C11" s="3">
        <v>40</v>
      </c>
      <c r="D11" s="4">
        <f>$C11*7.5/100</f>
        <v>3</v>
      </c>
      <c r="E11" s="4">
        <f>$C11*2.9/100</f>
        <v>1.1599999999999999</v>
      </c>
      <c r="F11" s="4">
        <f>$C11*50.7/100</f>
        <v>20.28</v>
      </c>
      <c r="G11" s="4">
        <f>$C11*264/100</f>
        <v>105.6</v>
      </c>
      <c r="H11" s="15" t="s">
        <v>23</v>
      </c>
    </row>
    <row r="12" spans="1:8" ht="31.5" customHeight="1" x14ac:dyDescent="0.25">
      <c r="A12" s="40" t="s">
        <v>13</v>
      </c>
      <c r="B12" s="41"/>
      <c r="C12" s="6">
        <f>SUM(C6:C11)</f>
        <v>570</v>
      </c>
      <c r="D12" s="46">
        <f>SUM(D6:D11)</f>
        <v>30.544999999999998</v>
      </c>
      <c r="E12" s="46">
        <f>SUM(E6:E11)</f>
        <v>57.712499999999999</v>
      </c>
      <c r="F12" s="46">
        <f>SUM(F6:F11)</f>
        <v>142.0515</v>
      </c>
      <c r="G12" s="46">
        <f>SUM(G6:G11)</f>
        <v>605.5</v>
      </c>
      <c r="H12" s="16"/>
    </row>
    <row r="13" spans="1:8" ht="31.5" customHeight="1" x14ac:dyDescent="0.25">
      <c r="A13" s="39" t="s">
        <v>29</v>
      </c>
      <c r="B13" s="2" t="s">
        <v>37</v>
      </c>
      <c r="C13" s="3">
        <v>250</v>
      </c>
      <c r="D13" s="4">
        <f>$C13*7.14/100</f>
        <v>17.850000000000001</v>
      </c>
      <c r="E13" s="4">
        <f>$C13*5.25/100</f>
        <v>13.125</v>
      </c>
      <c r="F13" s="4">
        <f>$C13*15.52/100</f>
        <v>38.799999999999997</v>
      </c>
      <c r="G13" s="4">
        <f>$C13*140/100</f>
        <v>350</v>
      </c>
      <c r="H13" s="15" t="s">
        <v>38</v>
      </c>
    </row>
    <row r="14" spans="1:8" ht="31.5" customHeight="1" x14ac:dyDescent="0.25">
      <c r="A14" s="39"/>
      <c r="B14" s="5" t="s">
        <v>16</v>
      </c>
      <c r="C14" s="3">
        <v>100</v>
      </c>
      <c r="D14" s="4">
        <f>$C14*7.85/100</f>
        <v>7.85</v>
      </c>
      <c r="E14" s="4">
        <f>$C14*6.51/100</f>
        <v>6.51</v>
      </c>
      <c r="F14" s="4">
        <f>$C14*7.89/100</f>
        <v>7.89</v>
      </c>
      <c r="G14" s="4">
        <f>$C14*123/100</f>
        <v>123</v>
      </c>
      <c r="H14" s="15" t="s">
        <v>26</v>
      </c>
    </row>
    <row r="15" spans="1:8" ht="31.5" customHeight="1" x14ac:dyDescent="0.25">
      <c r="A15" s="39"/>
      <c r="B15" s="5" t="s">
        <v>39</v>
      </c>
      <c r="C15" s="3">
        <v>150</v>
      </c>
      <c r="D15" s="4">
        <f>$C15*2.16/100</f>
        <v>3.24</v>
      </c>
      <c r="E15" s="4">
        <f>$C15*3.73/100</f>
        <v>5.5949999999999998</v>
      </c>
      <c r="F15" s="4">
        <f>$C15*14.7/100</f>
        <v>22.05</v>
      </c>
      <c r="G15" s="4">
        <f>$C15*104/100</f>
        <v>156</v>
      </c>
      <c r="H15" s="15" t="s">
        <v>40</v>
      </c>
    </row>
    <row r="16" spans="1:8" ht="31.5" customHeight="1" x14ac:dyDescent="0.25">
      <c r="A16" s="39"/>
      <c r="B16" s="5" t="s">
        <v>18</v>
      </c>
      <c r="C16" s="3">
        <v>215</v>
      </c>
      <c r="D16" s="4">
        <f>$C16*0.2/100</f>
        <v>0.43</v>
      </c>
      <c r="E16" s="4">
        <f>$C16*0.05/100</f>
        <v>0.1075</v>
      </c>
      <c r="F16" s="4">
        <f>$C16*15.01/100</f>
        <v>32.271500000000003</v>
      </c>
      <c r="G16" s="4">
        <f>$C16*57/100</f>
        <v>122.55</v>
      </c>
      <c r="H16" s="15" t="s">
        <v>25</v>
      </c>
    </row>
    <row r="17" spans="1:8" ht="31.5" customHeight="1" x14ac:dyDescent="0.25">
      <c r="A17" s="39"/>
      <c r="B17" s="5" t="s">
        <v>19</v>
      </c>
      <c r="C17" s="3">
        <v>40</v>
      </c>
      <c r="D17" s="4">
        <f>$C17*5.4/100</f>
        <v>2.16</v>
      </c>
      <c r="E17" s="4">
        <f>$C17*1/100</f>
        <v>0.4</v>
      </c>
      <c r="F17" s="4">
        <f>$C17*44.6/100</f>
        <v>17.84</v>
      </c>
      <c r="G17" s="4">
        <f>$C17*212/100</f>
        <v>84.8</v>
      </c>
      <c r="H17" s="15" t="s">
        <v>23</v>
      </c>
    </row>
    <row r="18" spans="1:8" ht="15.75" x14ac:dyDescent="0.25">
      <c r="A18" s="39"/>
      <c r="B18" s="5" t="s">
        <v>20</v>
      </c>
      <c r="C18" s="3">
        <v>40</v>
      </c>
      <c r="D18" s="4">
        <f>$C18*7.5/100</f>
        <v>3</v>
      </c>
      <c r="E18" s="4">
        <f>$C18*2.9/100</f>
        <v>1.1599999999999999</v>
      </c>
      <c r="F18" s="4">
        <f>$C18*50.7/100</f>
        <v>20.28</v>
      </c>
      <c r="G18" s="4">
        <f>$C18*264/100</f>
        <v>105.6</v>
      </c>
      <c r="H18" s="15" t="s">
        <v>23</v>
      </c>
    </row>
    <row r="19" spans="1:8" ht="31.5" customHeight="1" x14ac:dyDescent="0.25">
      <c r="A19" s="40" t="s">
        <v>27</v>
      </c>
      <c r="B19" s="41"/>
      <c r="C19" s="6">
        <f>SUM(C13:C18)</f>
        <v>795</v>
      </c>
      <c r="D19" s="46">
        <f>SUM(D13:D18)</f>
        <v>34.53</v>
      </c>
      <c r="E19" s="46">
        <f>SUM(E13:E18)</f>
        <v>26.897499999999997</v>
      </c>
      <c r="F19" s="46">
        <f>SUM(F13:F18)</f>
        <v>139.13150000000002</v>
      </c>
      <c r="G19" s="46">
        <f>SUM(G13:G18)</f>
        <v>941.94999999999993</v>
      </c>
      <c r="H19" s="17"/>
    </row>
    <row r="20" spans="1:8" ht="31.5" customHeight="1" thickBot="1" x14ac:dyDescent="0.3">
      <c r="A20" s="42" t="s">
        <v>28</v>
      </c>
      <c r="B20" s="43"/>
      <c r="C20" s="18">
        <f>C12+C19</f>
        <v>1365</v>
      </c>
      <c r="D20" s="47">
        <f>D12+D19</f>
        <v>65.075000000000003</v>
      </c>
      <c r="E20" s="47">
        <f>E12+E19</f>
        <v>84.61</v>
      </c>
      <c r="F20" s="47">
        <f>F12+F19</f>
        <v>281.18299999999999</v>
      </c>
      <c r="G20" s="47">
        <f>G12+G19</f>
        <v>1547.4499999999998</v>
      </c>
      <c r="H20" s="19"/>
    </row>
    <row r="21" spans="1:8" ht="15.75" x14ac:dyDescent="0.25">
      <c r="A21" s="1"/>
      <c r="B21" s="1"/>
      <c r="C21" s="1"/>
      <c r="D21" s="1"/>
      <c r="E21" s="1"/>
      <c r="F21" s="1"/>
      <c r="G21" s="1"/>
      <c r="H21" s="1"/>
    </row>
  </sheetData>
  <mergeCells count="6">
    <mergeCell ref="A20:B20"/>
    <mergeCell ref="C5:H5"/>
    <mergeCell ref="A6:A11"/>
    <mergeCell ref="A12:B12"/>
    <mergeCell ref="A13:A18"/>
    <mergeCell ref="A19:B1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showGridLines="0" workbookViewId="0">
      <selection activeCell="D16" sqref="D16:G17"/>
    </sheetView>
  </sheetViews>
  <sheetFormatPr defaultRowHeight="15" x14ac:dyDescent="0.25"/>
  <cols>
    <col min="1" max="1" width="18.28515625" customWidth="1"/>
    <col min="2" max="2" width="32.28515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8</v>
      </c>
      <c r="B5" s="10" t="s">
        <v>41</v>
      </c>
      <c r="C5" s="44"/>
      <c r="D5" s="44"/>
      <c r="E5" s="44"/>
      <c r="F5" s="44"/>
      <c r="G5" s="44"/>
      <c r="H5" s="45"/>
    </row>
    <row r="6" spans="1:8" ht="31.5" customHeight="1" x14ac:dyDescent="0.25">
      <c r="A6" s="39" t="s">
        <v>14</v>
      </c>
      <c r="B6" s="5" t="s">
        <v>39</v>
      </c>
      <c r="C6" s="3">
        <v>200</v>
      </c>
      <c r="D6" s="4">
        <f>$C6*2.16/100</f>
        <v>4.32</v>
      </c>
      <c r="E6" s="4">
        <f>$C6*3.73/100</f>
        <v>7.46</v>
      </c>
      <c r="F6" s="4">
        <f>$C6*14.7/100</f>
        <v>29.4</v>
      </c>
      <c r="G6" s="4">
        <f>$C6*104/100</f>
        <v>208</v>
      </c>
      <c r="H6" s="15" t="s">
        <v>40</v>
      </c>
    </row>
    <row r="7" spans="1:8" ht="31.5" customHeight="1" x14ac:dyDescent="0.25">
      <c r="A7" s="39"/>
      <c r="B7" s="2" t="s">
        <v>42</v>
      </c>
      <c r="C7" s="3">
        <v>100</v>
      </c>
      <c r="D7" s="4">
        <f>$C$7*16.79/100</f>
        <v>16.79</v>
      </c>
      <c r="E7" s="4">
        <f>$C$7*10.93/100</f>
        <v>10.93</v>
      </c>
      <c r="F7" s="4">
        <f>$C$7*5.64/100</f>
        <v>5.64</v>
      </c>
      <c r="G7" s="4">
        <f>$C$7*188/100</f>
        <v>188</v>
      </c>
      <c r="H7" s="15" t="s">
        <v>34</v>
      </c>
    </row>
    <row r="8" spans="1:8" ht="31.5" customHeight="1" x14ac:dyDescent="0.25">
      <c r="A8" s="39"/>
      <c r="B8" s="5" t="s">
        <v>53</v>
      </c>
      <c r="C8" s="3">
        <v>200</v>
      </c>
      <c r="D8" s="4">
        <f>$C$8*1.4/100</f>
        <v>2.8</v>
      </c>
      <c r="E8" s="4">
        <f>$C$8*1.6/100</f>
        <v>3.2</v>
      </c>
      <c r="F8" s="4">
        <f>$C$8*22.31/100</f>
        <v>44.62</v>
      </c>
      <c r="G8" s="4">
        <f>$C$8*105/100</f>
        <v>210</v>
      </c>
      <c r="H8" s="15" t="s">
        <v>25</v>
      </c>
    </row>
    <row r="9" spans="1:8" ht="31.5" customHeight="1" x14ac:dyDescent="0.25">
      <c r="A9" s="39"/>
      <c r="B9" s="5" t="s">
        <v>19</v>
      </c>
      <c r="C9" s="3">
        <v>40</v>
      </c>
      <c r="D9" s="4">
        <f>$C9*7.5/100</f>
        <v>3</v>
      </c>
      <c r="E9" s="4">
        <f>$C9*2.9/100</f>
        <v>1.1599999999999999</v>
      </c>
      <c r="F9" s="4">
        <f>$C9*50.7/100</f>
        <v>20.28</v>
      </c>
      <c r="G9" s="4">
        <f>$C9*264/100</f>
        <v>105.6</v>
      </c>
      <c r="H9" s="15" t="s">
        <v>23</v>
      </c>
    </row>
    <row r="10" spans="1:8" ht="31.5" customHeight="1" x14ac:dyDescent="0.25">
      <c r="A10" s="40" t="s">
        <v>13</v>
      </c>
      <c r="B10" s="41"/>
      <c r="C10" s="6">
        <f>SUM(C6:C9)</f>
        <v>540</v>
      </c>
      <c r="D10" s="6">
        <f>SUM(D6:D9)</f>
        <v>26.91</v>
      </c>
      <c r="E10" s="6">
        <f>SUM(E6:E9)</f>
        <v>22.75</v>
      </c>
      <c r="F10" s="6">
        <f>SUM(F6:F9)</f>
        <v>99.94</v>
      </c>
      <c r="G10" s="6">
        <f>SUM(G6:G9)</f>
        <v>711.6</v>
      </c>
      <c r="H10" s="16"/>
    </row>
    <row r="11" spans="1:8" ht="31.5" customHeight="1" x14ac:dyDescent="0.25">
      <c r="A11" s="39" t="s">
        <v>29</v>
      </c>
      <c r="B11" s="2" t="s">
        <v>43</v>
      </c>
      <c r="C11" s="3">
        <v>255</v>
      </c>
      <c r="D11" s="4">
        <f>$C11*2.06/100</f>
        <v>5.253000000000001</v>
      </c>
      <c r="E11" s="4">
        <f>$C11*5.27/100</f>
        <v>13.438499999999999</v>
      </c>
      <c r="F11" s="4">
        <f>$C11*13.01/100</f>
        <v>33.1755</v>
      </c>
      <c r="G11" s="4">
        <f>$C11*108/100</f>
        <v>275.39999999999998</v>
      </c>
      <c r="H11" s="15" t="s">
        <v>38</v>
      </c>
    </row>
    <row r="12" spans="1:8" ht="31.5" customHeight="1" x14ac:dyDescent="0.25">
      <c r="A12" s="39"/>
      <c r="B12" s="20" t="s">
        <v>44</v>
      </c>
      <c r="C12" s="3">
        <v>240</v>
      </c>
      <c r="D12" s="4">
        <f>$C12*18.99/100</f>
        <v>45.575999999999993</v>
      </c>
      <c r="E12" s="4">
        <f>$C12*7.18/100</f>
        <v>17.231999999999999</v>
      </c>
      <c r="F12" s="4">
        <f>$C12*30.8/100</f>
        <v>73.92</v>
      </c>
      <c r="G12" s="4">
        <f>$C12*267/100</f>
        <v>640.79999999999995</v>
      </c>
      <c r="H12" s="15" t="s">
        <v>45</v>
      </c>
    </row>
    <row r="13" spans="1:8" ht="31.5" customHeight="1" x14ac:dyDescent="0.25">
      <c r="A13" s="39"/>
      <c r="B13" s="5" t="s">
        <v>46</v>
      </c>
      <c r="C13" s="3">
        <v>222</v>
      </c>
      <c r="D13" s="4">
        <f>$C13*0.26/100</f>
        <v>0.57719999999999994</v>
      </c>
      <c r="E13" s="4">
        <f>$C13*0.05/100</f>
        <v>0.11100000000000002</v>
      </c>
      <c r="F13" s="4">
        <f>$C13*15.22/100</f>
        <v>33.788400000000003</v>
      </c>
      <c r="G13" s="4">
        <f>$C13*59/100</f>
        <v>130.97999999999999</v>
      </c>
      <c r="H13" s="15" t="s">
        <v>47</v>
      </c>
    </row>
    <row r="14" spans="1:8" ht="31.5" customHeight="1" x14ac:dyDescent="0.25">
      <c r="A14" s="39"/>
      <c r="B14" s="5" t="s">
        <v>19</v>
      </c>
      <c r="C14" s="3">
        <v>80</v>
      </c>
      <c r="D14" s="4">
        <f>$C14*5.4/100</f>
        <v>4.32</v>
      </c>
      <c r="E14" s="4">
        <f>$C14*1/100</f>
        <v>0.8</v>
      </c>
      <c r="F14" s="4">
        <f>$C14*44.6/100</f>
        <v>35.68</v>
      </c>
      <c r="G14" s="4">
        <f>$C14*212/100</f>
        <v>169.6</v>
      </c>
      <c r="H14" s="15" t="s">
        <v>23</v>
      </c>
    </row>
    <row r="15" spans="1:8" ht="15.75" x14ac:dyDescent="0.25">
      <c r="A15" s="39"/>
      <c r="B15" s="5" t="s">
        <v>20</v>
      </c>
      <c r="C15" s="3">
        <v>30</v>
      </c>
      <c r="D15" s="4">
        <f>$C15*7.5/100</f>
        <v>2.25</v>
      </c>
      <c r="E15" s="4">
        <f>$C15*2.9/100</f>
        <v>0.87</v>
      </c>
      <c r="F15" s="4">
        <f>$C15*50.7/100</f>
        <v>15.21</v>
      </c>
      <c r="G15" s="4">
        <f>$C15*264/100</f>
        <v>79.2</v>
      </c>
      <c r="H15" s="15" t="s">
        <v>23</v>
      </c>
    </row>
    <row r="16" spans="1:8" ht="31.5" customHeight="1" x14ac:dyDescent="0.25">
      <c r="A16" s="40" t="s">
        <v>27</v>
      </c>
      <c r="B16" s="41"/>
      <c r="C16" s="6">
        <f>SUM(C11:C15)</f>
        <v>827</v>
      </c>
      <c r="D16" s="46">
        <f>SUM(D11:D15)</f>
        <v>57.976199999999992</v>
      </c>
      <c r="E16" s="46">
        <f>SUM(E11:E15)</f>
        <v>32.451499999999996</v>
      </c>
      <c r="F16" s="46">
        <f>SUM(F11:F15)</f>
        <v>191.77390000000003</v>
      </c>
      <c r="G16" s="46">
        <f>SUM(G11:G15)</f>
        <v>1295.9799999999998</v>
      </c>
      <c r="H16" s="17"/>
    </row>
    <row r="17" spans="1:8" ht="31.5" customHeight="1" thickBot="1" x14ac:dyDescent="0.3">
      <c r="A17" s="42" t="s">
        <v>28</v>
      </c>
      <c r="B17" s="43"/>
      <c r="C17" s="18">
        <f>C10+C16</f>
        <v>1367</v>
      </c>
      <c r="D17" s="47">
        <f>D10+D16</f>
        <v>84.886199999999988</v>
      </c>
      <c r="E17" s="47">
        <f>E10+E16</f>
        <v>55.201499999999996</v>
      </c>
      <c r="F17" s="47">
        <f>F10+F16</f>
        <v>291.71390000000002</v>
      </c>
      <c r="G17" s="47">
        <f>G10+G16</f>
        <v>2007.58</v>
      </c>
      <c r="H17" s="19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</sheetData>
  <mergeCells count="6">
    <mergeCell ref="A17:B17"/>
    <mergeCell ref="C5:H5"/>
    <mergeCell ref="A6:A9"/>
    <mergeCell ref="A10:B10"/>
    <mergeCell ref="A11:A15"/>
    <mergeCell ref="A16:B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showGridLines="0" workbookViewId="0">
      <selection activeCell="D16" sqref="D16:G17"/>
    </sheetView>
  </sheetViews>
  <sheetFormatPr defaultRowHeight="15" x14ac:dyDescent="0.25"/>
  <cols>
    <col min="1" max="1" width="18.28515625" customWidth="1"/>
    <col min="2" max="2" width="32.28515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8</v>
      </c>
      <c r="B5" s="10" t="s">
        <v>60</v>
      </c>
      <c r="C5" s="44"/>
      <c r="D5" s="44"/>
      <c r="E5" s="44"/>
      <c r="F5" s="44"/>
      <c r="G5" s="44"/>
      <c r="H5" s="45"/>
    </row>
    <row r="6" spans="1:8" ht="38.25" customHeight="1" x14ac:dyDescent="0.25">
      <c r="A6" s="39" t="s">
        <v>14</v>
      </c>
      <c r="B6" s="2" t="s">
        <v>48</v>
      </c>
      <c r="C6" s="3">
        <v>210</v>
      </c>
      <c r="D6" s="4">
        <f>$C6*4.09/100</f>
        <v>8.5890000000000004</v>
      </c>
      <c r="E6" s="4">
        <f>$C6*6.4/100</f>
        <v>13.44</v>
      </c>
      <c r="F6" s="4">
        <f>$C6*21.23/100</f>
        <v>44.582999999999998</v>
      </c>
      <c r="G6" s="4">
        <f>$C6*159/100</f>
        <v>333.9</v>
      </c>
      <c r="H6" s="15" t="s">
        <v>49</v>
      </c>
    </row>
    <row r="7" spans="1:8" ht="31.5" customHeight="1" x14ac:dyDescent="0.25">
      <c r="A7" s="39"/>
      <c r="B7" s="2" t="s">
        <v>50</v>
      </c>
      <c r="C7" s="3">
        <v>40</v>
      </c>
      <c r="D7" s="4">
        <f>$C$7*6.9/100</f>
        <v>2.76</v>
      </c>
      <c r="E7" s="4">
        <f>$C$7*8.7/100</f>
        <v>3.48</v>
      </c>
      <c r="F7" s="4">
        <f>$C$7*0/100</f>
        <v>0</v>
      </c>
      <c r="G7" s="4">
        <f>$C$7*363/100</f>
        <v>145.19999999999999</v>
      </c>
      <c r="H7" s="15" t="s">
        <v>51</v>
      </c>
    </row>
    <row r="8" spans="1:8" ht="31.5" customHeight="1" x14ac:dyDescent="0.25">
      <c r="A8" s="39"/>
      <c r="B8" s="5" t="s">
        <v>18</v>
      </c>
      <c r="C8" s="3">
        <v>215</v>
      </c>
      <c r="D8" s="4">
        <f>$C$8*0.2/100</f>
        <v>0.43</v>
      </c>
      <c r="E8" s="4">
        <f>$C$8*0.05/100</f>
        <v>0.1075</v>
      </c>
      <c r="F8" s="4">
        <f>$C$8*15.01/100</f>
        <v>32.271500000000003</v>
      </c>
      <c r="G8" s="4">
        <f>$C$8*57/100</f>
        <v>122.55</v>
      </c>
      <c r="H8" s="15" t="s">
        <v>25</v>
      </c>
    </row>
    <row r="9" spans="1:8" ht="31.5" customHeight="1" x14ac:dyDescent="0.25">
      <c r="A9" s="39"/>
      <c r="B9" s="5" t="s">
        <v>52</v>
      </c>
      <c r="C9" s="3">
        <v>50</v>
      </c>
      <c r="D9" s="4">
        <f>$C9*7.5/100</f>
        <v>3.75</v>
      </c>
      <c r="E9" s="4">
        <f>$C9*2.9/100</f>
        <v>1.45</v>
      </c>
      <c r="F9" s="4">
        <f>$C9*50.7/100</f>
        <v>25.35</v>
      </c>
      <c r="G9" s="4">
        <f>$C9*264/100</f>
        <v>132</v>
      </c>
      <c r="H9" s="15" t="s">
        <v>23</v>
      </c>
    </row>
    <row r="10" spans="1:8" ht="31.5" customHeight="1" x14ac:dyDescent="0.25">
      <c r="A10" s="40" t="s">
        <v>13</v>
      </c>
      <c r="B10" s="41"/>
      <c r="C10" s="6">
        <f>SUM(C6:C9)</f>
        <v>515</v>
      </c>
      <c r="D10" s="46">
        <f>SUM(D6:D9)</f>
        <v>15.529</v>
      </c>
      <c r="E10" s="46">
        <f>SUM(E6:E9)</f>
        <v>18.477499999999999</v>
      </c>
      <c r="F10" s="46">
        <f>SUM(F6:F9)</f>
        <v>102.2045</v>
      </c>
      <c r="G10" s="46">
        <f>SUM(G6:G9)</f>
        <v>733.65</v>
      </c>
      <c r="H10" s="16"/>
    </row>
    <row r="11" spans="1:8" ht="31.5" customHeight="1" x14ac:dyDescent="0.25">
      <c r="A11" s="39" t="s">
        <v>29</v>
      </c>
      <c r="B11" s="2" t="s">
        <v>54</v>
      </c>
      <c r="C11" s="3">
        <v>255</v>
      </c>
      <c r="D11" s="4">
        <f>$C11*1.97/100</f>
        <v>5.0234999999999994</v>
      </c>
      <c r="E11" s="4">
        <f>$C11*5.32/100</f>
        <v>13.566000000000001</v>
      </c>
      <c r="F11" s="4">
        <f>$C11*9.33/100</f>
        <v>23.791499999999999</v>
      </c>
      <c r="G11" s="4">
        <f>$C11*94/100</f>
        <v>239.7</v>
      </c>
      <c r="H11" s="15" t="s">
        <v>55</v>
      </c>
    </row>
    <row r="12" spans="1:8" ht="31.5" customHeight="1" x14ac:dyDescent="0.25">
      <c r="A12" s="39"/>
      <c r="B12" s="20" t="s">
        <v>56</v>
      </c>
      <c r="C12" s="3">
        <v>300</v>
      </c>
      <c r="D12" s="4">
        <f>$C12*18.18/100</f>
        <v>54.54</v>
      </c>
      <c r="E12" s="4">
        <f>$C12*6.34/100</f>
        <v>19.02</v>
      </c>
      <c r="F12" s="4">
        <f>$C12*17.95/100</f>
        <v>53.85</v>
      </c>
      <c r="G12" s="4">
        <f>$C12*205/100</f>
        <v>615</v>
      </c>
      <c r="H12" s="15" t="s">
        <v>57</v>
      </c>
    </row>
    <row r="13" spans="1:8" ht="31.5" customHeight="1" x14ac:dyDescent="0.25">
      <c r="A13" s="39"/>
      <c r="B13" s="5" t="s">
        <v>58</v>
      </c>
      <c r="C13" s="3">
        <v>200</v>
      </c>
      <c r="D13" s="4">
        <f>$C13*0.41/100</f>
        <v>0.82</v>
      </c>
      <c r="E13" s="4">
        <f>$C13*0/100</f>
        <v>0</v>
      </c>
      <c r="F13" s="4">
        <f>$C13*25.16/100</f>
        <v>50.32</v>
      </c>
      <c r="G13" s="4">
        <f>$C13*98/100</f>
        <v>196</v>
      </c>
      <c r="H13" s="15" t="s">
        <v>59</v>
      </c>
    </row>
    <row r="14" spans="1:8" ht="31.5" customHeight="1" x14ac:dyDescent="0.25">
      <c r="A14" s="39"/>
      <c r="B14" s="5" t="s">
        <v>19</v>
      </c>
      <c r="C14" s="3">
        <v>80</v>
      </c>
      <c r="D14" s="4">
        <f>$C14*5.4/100</f>
        <v>4.32</v>
      </c>
      <c r="E14" s="4">
        <f>$C14*1/100</f>
        <v>0.8</v>
      </c>
      <c r="F14" s="4">
        <f>$C14*44.6/100</f>
        <v>35.68</v>
      </c>
      <c r="G14" s="4">
        <f>$C14*212/100</f>
        <v>169.6</v>
      </c>
      <c r="H14" s="15" t="s">
        <v>23</v>
      </c>
    </row>
    <row r="15" spans="1:8" ht="15.75" x14ac:dyDescent="0.25">
      <c r="A15" s="39"/>
      <c r="B15" s="5" t="s">
        <v>20</v>
      </c>
      <c r="C15" s="3">
        <v>30</v>
      </c>
      <c r="D15" s="4">
        <f>$C15*7.5/100</f>
        <v>2.25</v>
      </c>
      <c r="E15" s="4">
        <f>$C15*2.9/100</f>
        <v>0.87</v>
      </c>
      <c r="F15" s="4">
        <f>$C15*50.7/100</f>
        <v>15.21</v>
      </c>
      <c r="G15" s="4">
        <f>$C15*264/100</f>
        <v>79.2</v>
      </c>
      <c r="H15" s="15" t="s">
        <v>23</v>
      </c>
    </row>
    <row r="16" spans="1:8" ht="31.5" customHeight="1" x14ac:dyDescent="0.25">
      <c r="A16" s="40" t="s">
        <v>27</v>
      </c>
      <c r="B16" s="41"/>
      <c r="C16" s="6">
        <f>SUM(C11:C15)</f>
        <v>865</v>
      </c>
      <c r="D16" s="46">
        <f>SUM(D11:D15)</f>
        <v>66.953499999999991</v>
      </c>
      <c r="E16" s="46">
        <f>SUM(E11:E15)</f>
        <v>34.255999999999993</v>
      </c>
      <c r="F16" s="46">
        <f>SUM(F11:F15)</f>
        <v>178.85150000000002</v>
      </c>
      <c r="G16" s="46">
        <f>SUM(G11:G15)</f>
        <v>1299.5</v>
      </c>
      <c r="H16" s="17"/>
    </row>
    <row r="17" spans="1:8" ht="31.5" customHeight="1" thickBot="1" x14ac:dyDescent="0.3">
      <c r="A17" s="42" t="s">
        <v>28</v>
      </c>
      <c r="B17" s="43"/>
      <c r="C17" s="18">
        <f>C10+C16</f>
        <v>1380</v>
      </c>
      <c r="D17" s="47">
        <f>D10+D16</f>
        <v>82.482499999999987</v>
      </c>
      <c r="E17" s="47">
        <f>E10+E16</f>
        <v>52.733499999999992</v>
      </c>
      <c r="F17" s="47">
        <f>F10+F16</f>
        <v>281.05600000000004</v>
      </c>
      <c r="G17" s="47">
        <f>G10+G16</f>
        <v>2033.15</v>
      </c>
      <c r="H17" s="19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</sheetData>
  <mergeCells count="6">
    <mergeCell ref="A17:B17"/>
    <mergeCell ref="C5:H5"/>
    <mergeCell ref="A6:A9"/>
    <mergeCell ref="A10:B10"/>
    <mergeCell ref="A11:A15"/>
    <mergeCell ref="A16:B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D17" sqref="D17:G18"/>
    </sheetView>
  </sheetViews>
  <sheetFormatPr defaultRowHeight="15" x14ac:dyDescent="0.25"/>
  <cols>
    <col min="1" max="1" width="18.28515625" customWidth="1"/>
    <col min="2" max="2" width="32.28515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8</v>
      </c>
      <c r="B5" s="10" t="s">
        <v>61</v>
      </c>
      <c r="C5" s="44"/>
      <c r="D5" s="44"/>
      <c r="E5" s="44"/>
      <c r="F5" s="44"/>
      <c r="G5" s="44"/>
      <c r="H5" s="45"/>
    </row>
    <row r="6" spans="1:8" ht="38.25" customHeight="1" x14ac:dyDescent="0.25">
      <c r="A6" s="39" t="s">
        <v>14</v>
      </c>
      <c r="B6" s="2" t="s">
        <v>62</v>
      </c>
      <c r="C6" s="3">
        <v>150</v>
      </c>
      <c r="D6" s="4">
        <f>$C6*10.2/150</f>
        <v>10.199999999999999</v>
      </c>
      <c r="E6" s="4">
        <f>$C6*10.6/150</f>
        <v>10.6</v>
      </c>
      <c r="F6" s="4">
        <f>$C6*21.23/150</f>
        <v>21.23</v>
      </c>
      <c r="G6" s="4">
        <f>$C6*126.74/150</f>
        <v>126.74</v>
      </c>
      <c r="H6" s="15" t="s">
        <v>63</v>
      </c>
    </row>
    <row r="7" spans="1:8" ht="31.5" customHeight="1" x14ac:dyDescent="0.25">
      <c r="A7" s="39"/>
      <c r="B7" s="5" t="s">
        <v>16</v>
      </c>
      <c r="C7" s="3">
        <v>100</v>
      </c>
      <c r="D7" s="4">
        <f>$C7*7.85/100</f>
        <v>7.85</v>
      </c>
      <c r="E7" s="4">
        <f>$C7*42.1/100</f>
        <v>42.1</v>
      </c>
      <c r="F7" s="4">
        <f>$C7*7.89/100</f>
        <v>7.89</v>
      </c>
      <c r="G7" s="4">
        <f>$C7*123/100</f>
        <v>123</v>
      </c>
      <c r="H7" s="15" t="s">
        <v>26</v>
      </c>
    </row>
    <row r="8" spans="1:8" ht="31.5" customHeight="1" x14ac:dyDescent="0.25">
      <c r="A8" s="39"/>
      <c r="B8" s="5" t="s">
        <v>64</v>
      </c>
      <c r="C8" s="3">
        <v>200</v>
      </c>
      <c r="D8" s="4">
        <f>$C$8*0.21/100</f>
        <v>0.42</v>
      </c>
      <c r="E8" s="4">
        <f>$C$8*0.21/100</f>
        <v>0.42</v>
      </c>
      <c r="F8" s="4">
        <f>$C$8*15.27/100</f>
        <v>30.54</v>
      </c>
      <c r="G8" s="4">
        <f>$C$8*62/100</f>
        <v>124</v>
      </c>
      <c r="H8" s="15" t="s">
        <v>65</v>
      </c>
    </row>
    <row r="9" spans="1:8" ht="31.5" customHeight="1" x14ac:dyDescent="0.25">
      <c r="A9" s="39"/>
      <c r="B9" s="5" t="s">
        <v>19</v>
      </c>
      <c r="C9" s="3">
        <v>40</v>
      </c>
      <c r="D9" s="4">
        <f>$C9*5.4/100</f>
        <v>2.16</v>
      </c>
      <c r="E9" s="4">
        <f>$C9*1/100</f>
        <v>0.4</v>
      </c>
      <c r="F9" s="4">
        <f>$C9*44.6/100</f>
        <v>17.84</v>
      </c>
      <c r="G9" s="4">
        <f>$C9*212/100</f>
        <v>84.8</v>
      </c>
      <c r="H9" s="15" t="s">
        <v>23</v>
      </c>
    </row>
    <row r="10" spans="1:8" ht="31.5" customHeight="1" x14ac:dyDescent="0.25">
      <c r="A10" s="39"/>
      <c r="B10" s="5" t="s">
        <v>66</v>
      </c>
      <c r="C10" s="3">
        <v>30</v>
      </c>
      <c r="D10" s="4">
        <f>$C10*1.97/100</f>
        <v>0.59099999999999997</v>
      </c>
      <c r="E10" s="4">
        <f>$C10*7.74/100</f>
        <v>2.3220000000000001</v>
      </c>
      <c r="F10" s="4">
        <f>$C10*0.3/100</f>
        <v>0.09</v>
      </c>
      <c r="G10" s="4">
        <f>$C10*162.9/100</f>
        <v>48.87</v>
      </c>
      <c r="H10" s="15" t="s">
        <v>67</v>
      </c>
    </row>
    <row r="11" spans="1:8" ht="31.5" customHeight="1" x14ac:dyDescent="0.25">
      <c r="A11" s="40" t="s">
        <v>13</v>
      </c>
      <c r="B11" s="41"/>
      <c r="C11" s="6">
        <f>SUM(C6:C10)</f>
        <v>520</v>
      </c>
      <c r="D11" s="46">
        <f>SUM(D6:D10)</f>
        <v>21.221</v>
      </c>
      <c r="E11" s="46">
        <f>SUM(E6:E10)</f>
        <v>55.842000000000006</v>
      </c>
      <c r="F11" s="46">
        <f>SUM(F6:F10)</f>
        <v>77.59</v>
      </c>
      <c r="G11" s="46">
        <f>SUM(G6:G10)</f>
        <v>507.41</v>
      </c>
      <c r="H11" s="16"/>
    </row>
    <row r="12" spans="1:8" ht="31.5" customHeight="1" x14ac:dyDescent="0.25">
      <c r="A12" s="39" t="s">
        <v>29</v>
      </c>
      <c r="B12" s="2" t="s">
        <v>68</v>
      </c>
      <c r="C12" s="3">
        <v>280</v>
      </c>
      <c r="D12" s="4">
        <f>$C12*6.67/100</f>
        <v>18.675999999999998</v>
      </c>
      <c r="E12" s="4">
        <f>$C12*6.99/100</f>
        <v>19.571999999999999</v>
      </c>
      <c r="F12" s="4">
        <f>$C12*18.45/100</f>
        <v>51.66</v>
      </c>
      <c r="G12" s="4">
        <f>$C12*167/100</f>
        <v>467.6</v>
      </c>
      <c r="H12" s="15" t="s">
        <v>69</v>
      </c>
    </row>
    <row r="13" spans="1:8" ht="31.5" customHeight="1" x14ac:dyDescent="0.25">
      <c r="A13" s="39"/>
      <c r="B13" s="2" t="s">
        <v>48</v>
      </c>
      <c r="C13" s="3">
        <v>160</v>
      </c>
      <c r="D13" s="4">
        <f>$C13*4.09/100</f>
        <v>6.5439999999999996</v>
      </c>
      <c r="E13" s="4">
        <f>$C13*6.4/100</f>
        <v>10.24</v>
      </c>
      <c r="F13" s="4">
        <f>$C13*21.23/100</f>
        <v>33.968000000000004</v>
      </c>
      <c r="G13" s="4">
        <f>$C13*159/100</f>
        <v>254.4</v>
      </c>
      <c r="H13" s="15" t="s">
        <v>49</v>
      </c>
    </row>
    <row r="14" spans="1:8" ht="31.5" customHeight="1" x14ac:dyDescent="0.25">
      <c r="A14" s="39"/>
      <c r="B14" s="5" t="s">
        <v>11</v>
      </c>
      <c r="C14" s="3">
        <v>200</v>
      </c>
      <c r="D14" s="4">
        <f>$C14*0/100</f>
        <v>0</v>
      </c>
      <c r="E14" s="4">
        <f>$C14*0/100</f>
        <v>0</v>
      </c>
      <c r="F14" s="4">
        <f>$C14*11.2/100</f>
        <v>22.4</v>
      </c>
      <c r="G14" s="4">
        <f>$C14*45/100</f>
        <v>90</v>
      </c>
      <c r="H14" s="15" t="s">
        <v>22</v>
      </c>
    </row>
    <row r="15" spans="1:8" ht="31.5" customHeight="1" x14ac:dyDescent="0.25">
      <c r="A15" s="39"/>
      <c r="B15" s="5" t="s">
        <v>19</v>
      </c>
      <c r="C15" s="3">
        <v>80</v>
      </c>
      <c r="D15" s="4">
        <f>$C15*5.4/100</f>
        <v>4.32</v>
      </c>
      <c r="E15" s="4">
        <f>$C15*1/100</f>
        <v>0.8</v>
      </c>
      <c r="F15" s="4">
        <f>$C15*44.6/100</f>
        <v>35.68</v>
      </c>
      <c r="G15" s="4">
        <f>$C15*212/100</f>
        <v>169.6</v>
      </c>
      <c r="H15" s="15" t="s">
        <v>23</v>
      </c>
    </row>
    <row r="16" spans="1:8" ht="15.75" x14ac:dyDescent="0.25">
      <c r="A16" s="39"/>
      <c r="B16" s="5" t="s">
        <v>20</v>
      </c>
      <c r="C16" s="3">
        <v>30</v>
      </c>
      <c r="D16" s="4">
        <f>$C16*7.5/100</f>
        <v>2.25</v>
      </c>
      <c r="E16" s="4">
        <f>$C16*2.9/100</f>
        <v>0.87</v>
      </c>
      <c r="F16" s="4">
        <f>$C16*50.7/100</f>
        <v>15.21</v>
      </c>
      <c r="G16" s="4">
        <f>$C16*264/100</f>
        <v>79.2</v>
      </c>
      <c r="H16" s="15" t="s">
        <v>23</v>
      </c>
    </row>
    <row r="17" spans="1:8" ht="31.5" customHeight="1" x14ac:dyDescent="0.25">
      <c r="A17" s="40" t="s">
        <v>27</v>
      </c>
      <c r="B17" s="41"/>
      <c r="C17" s="6">
        <f>SUM(C12:C16)</f>
        <v>750</v>
      </c>
      <c r="D17" s="46">
        <f>SUM(D12:D16)</f>
        <v>31.79</v>
      </c>
      <c r="E17" s="46">
        <f>SUM(E12:E16)</f>
        <v>31.481999999999999</v>
      </c>
      <c r="F17" s="46">
        <f>SUM(F12:F16)</f>
        <v>158.91800000000001</v>
      </c>
      <c r="G17" s="46">
        <f>SUM(G12:G16)</f>
        <v>1060.8</v>
      </c>
      <c r="H17" s="17"/>
    </row>
    <row r="18" spans="1:8" ht="31.5" customHeight="1" thickBot="1" x14ac:dyDescent="0.3">
      <c r="A18" s="42" t="s">
        <v>28</v>
      </c>
      <c r="B18" s="43"/>
      <c r="C18" s="18">
        <f>C11+C17</f>
        <v>1270</v>
      </c>
      <c r="D18" s="47">
        <f>D11+D17</f>
        <v>53.010999999999996</v>
      </c>
      <c r="E18" s="47">
        <f>E11+E17</f>
        <v>87.324000000000012</v>
      </c>
      <c r="F18" s="47">
        <f>F11+F17</f>
        <v>236.50800000000001</v>
      </c>
      <c r="G18" s="47">
        <f>G11+G17</f>
        <v>1568.21</v>
      </c>
      <c r="H18" s="19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</sheetData>
  <mergeCells count="6">
    <mergeCell ref="A18:B18"/>
    <mergeCell ref="C5:H5"/>
    <mergeCell ref="A6:A10"/>
    <mergeCell ref="A11:B11"/>
    <mergeCell ref="A12:A16"/>
    <mergeCell ref="A17:B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showGridLines="0" workbookViewId="0">
      <selection activeCell="D18" sqref="D18:G19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70</v>
      </c>
      <c r="B5" s="10" t="s">
        <v>9</v>
      </c>
      <c r="C5" s="44"/>
      <c r="D5" s="44"/>
      <c r="E5" s="44"/>
      <c r="F5" s="44"/>
      <c r="G5" s="44"/>
      <c r="H5" s="45"/>
    </row>
    <row r="6" spans="1:8" ht="31.5" customHeight="1" x14ac:dyDescent="0.25">
      <c r="A6" s="39" t="s">
        <v>14</v>
      </c>
      <c r="B6" s="2" t="s">
        <v>71</v>
      </c>
      <c r="C6" s="3">
        <v>230</v>
      </c>
      <c r="D6" s="4">
        <f>$C6*6.07/100</f>
        <v>13.961000000000002</v>
      </c>
      <c r="E6" s="4">
        <f>$C6*7.48/100</f>
        <v>17.204000000000001</v>
      </c>
      <c r="F6" s="4">
        <f>$C6*23.98/100</f>
        <v>55.154000000000003</v>
      </c>
      <c r="G6" s="4">
        <f>$C6*191/100</f>
        <v>439.3</v>
      </c>
      <c r="H6" s="15" t="s">
        <v>72</v>
      </c>
    </row>
    <row r="7" spans="1:8" ht="31.5" customHeight="1" x14ac:dyDescent="0.25">
      <c r="A7" s="39"/>
      <c r="B7" s="5" t="s">
        <v>18</v>
      </c>
      <c r="C7" s="3">
        <v>215</v>
      </c>
      <c r="D7" s="4">
        <f>$C7*0.2/100</f>
        <v>0.43</v>
      </c>
      <c r="E7" s="4">
        <f>$C7*0.05/100</f>
        <v>0.1075</v>
      </c>
      <c r="F7" s="4">
        <f>$C7*15.01/100</f>
        <v>32.271500000000003</v>
      </c>
      <c r="G7" s="4">
        <f>$C7*57/100</f>
        <v>122.55</v>
      </c>
      <c r="H7" s="15" t="s">
        <v>25</v>
      </c>
    </row>
    <row r="8" spans="1:8" ht="31.5" customHeight="1" x14ac:dyDescent="0.25">
      <c r="A8" s="39"/>
      <c r="B8" s="5" t="s">
        <v>19</v>
      </c>
      <c r="C8" s="3">
        <v>40</v>
      </c>
      <c r="D8" s="4">
        <f>$C8*5.4/100</f>
        <v>2.16</v>
      </c>
      <c r="E8" s="4">
        <f>$C8*1/100</f>
        <v>0.4</v>
      </c>
      <c r="F8" s="4">
        <f>$C8*44.6/100</f>
        <v>17.84</v>
      </c>
      <c r="G8" s="4">
        <f>$C8*212/100</f>
        <v>84.8</v>
      </c>
      <c r="H8" s="15" t="s">
        <v>23</v>
      </c>
    </row>
    <row r="9" spans="1:8" ht="31.5" customHeight="1" x14ac:dyDescent="0.25">
      <c r="A9" s="39"/>
      <c r="B9" s="5" t="s">
        <v>73</v>
      </c>
      <c r="C9" s="3">
        <v>100</v>
      </c>
      <c r="D9" s="4">
        <f>$C9*0/100</f>
        <v>0</v>
      </c>
      <c r="E9" s="4">
        <f>$C9*4.52/100</f>
        <v>4.5199999999999996</v>
      </c>
      <c r="F9" s="4">
        <f>$C9*46/100</f>
        <v>46</v>
      </c>
      <c r="G9" s="4">
        <f>$C9*137.08/100</f>
        <v>137.08000000000001</v>
      </c>
      <c r="H9" s="15" t="s">
        <v>22</v>
      </c>
    </row>
    <row r="10" spans="1:8" ht="31.5" customHeight="1" x14ac:dyDescent="0.25">
      <c r="A10" s="40" t="s">
        <v>13</v>
      </c>
      <c r="B10" s="41"/>
      <c r="C10" s="6">
        <f>SUM(C6:C9)</f>
        <v>585</v>
      </c>
      <c r="D10" s="46">
        <f>SUM(D6:D9)</f>
        <v>16.551000000000002</v>
      </c>
      <c r="E10" s="46">
        <f>SUM(E6:E9)</f>
        <v>22.2315</v>
      </c>
      <c r="F10" s="46">
        <f>SUM(F6:F9)</f>
        <v>151.2655</v>
      </c>
      <c r="G10" s="46">
        <f>SUM(G6:G9)</f>
        <v>783.73</v>
      </c>
      <c r="H10" s="16"/>
    </row>
    <row r="11" spans="1:8" ht="31.5" customHeight="1" x14ac:dyDescent="0.25">
      <c r="A11" s="39" t="s">
        <v>29</v>
      </c>
      <c r="B11" s="2" t="s">
        <v>15</v>
      </c>
      <c r="C11" s="3">
        <v>250</v>
      </c>
      <c r="D11" s="4">
        <f>$C11*5.48/100</f>
        <v>13.7</v>
      </c>
      <c r="E11" s="4">
        <f>$C11*4.74/100</f>
        <v>11.85</v>
      </c>
      <c r="F11" s="4">
        <f>$C11*19.74/100</f>
        <v>49.35</v>
      </c>
      <c r="G11" s="4">
        <f>$C11*146/100</f>
        <v>365</v>
      </c>
      <c r="H11" s="15" t="s">
        <v>24</v>
      </c>
    </row>
    <row r="12" spans="1:8" ht="31.5" customHeight="1" x14ac:dyDescent="0.25">
      <c r="A12" s="39"/>
      <c r="B12" s="5" t="s">
        <v>74</v>
      </c>
      <c r="C12" s="3">
        <v>90</v>
      </c>
      <c r="D12" s="4">
        <f>$C12*7.81/100</f>
        <v>7.0289999999999999</v>
      </c>
      <c r="E12" s="4">
        <f>$C12*10.49/100</f>
        <v>9.4410000000000007</v>
      </c>
      <c r="F12" s="4">
        <f>$C12*8.02/100</f>
        <v>7.218</v>
      </c>
      <c r="G12" s="4">
        <f>$C12*265/100</f>
        <v>238.5</v>
      </c>
      <c r="H12" s="15" t="s">
        <v>75</v>
      </c>
    </row>
    <row r="13" spans="1:8" ht="31.5" customHeight="1" x14ac:dyDescent="0.25">
      <c r="A13" s="39"/>
      <c r="B13" s="5" t="s">
        <v>76</v>
      </c>
      <c r="C13" s="3">
        <v>50</v>
      </c>
      <c r="D13" s="4">
        <f>$C13*8.16/100</f>
        <v>4.08</v>
      </c>
      <c r="E13" s="4">
        <f>$C13*17.23/100</f>
        <v>8.6150000000000002</v>
      </c>
      <c r="F13" s="4">
        <f>$C13*62.21/100</f>
        <v>31.105</v>
      </c>
      <c r="G13" s="4">
        <f>$C13*437/100</f>
        <v>218.5</v>
      </c>
      <c r="H13" s="15" t="s">
        <v>77</v>
      </c>
    </row>
    <row r="14" spans="1:8" ht="31.5" customHeight="1" x14ac:dyDescent="0.25">
      <c r="A14" s="39"/>
      <c r="B14" s="5" t="s">
        <v>39</v>
      </c>
      <c r="C14" s="3">
        <v>150</v>
      </c>
      <c r="D14" s="4">
        <f>$C14*2.16/100</f>
        <v>3.24</v>
      </c>
      <c r="E14" s="4">
        <f>$C14*3.73/100</f>
        <v>5.5949999999999998</v>
      </c>
      <c r="F14" s="4">
        <f>$C14*14.7/100</f>
        <v>22.05</v>
      </c>
      <c r="G14" s="4">
        <f>$C14*104/100</f>
        <v>156</v>
      </c>
      <c r="H14" s="15" t="s">
        <v>40</v>
      </c>
    </row>
    <row r="15" spans="1:8" ht="31.5" customHeight="1" x14ac:dyDescent="0.25">
      <c r="A15" s="39"/>
      <c r="B15" s="5" t="s">
        <v>18</v>
      </c>
      <c r="C15" s="3">
        <v>215</v>
      </c>
      <c r="D15" s="4">
        <f>$C15*0.2/100</f>
        <v>0.43</v>
      </c>
      <c r="E15" s="4">
        <f>$C15*0.05/100</f>
        <v>0.1075</v>
      </c>
      <c r="F15" s="4">
        <f>$C15*15.01/100</f>
        <v>32.271500000000003</v>
      </c>
      <c r="G15" s="4">
        <f>$C15*57/100</f>
        <v>122.55</v>
      </c>
      <c r="H15" s="15" t="s">
        <v>25</v>
      </c>
    </row>
    <row r="16" spans="1:8" ht="31.5" customHeight="1" x14ac:dyDescent="0.25">
      <c r="A16" s="39"/>
      <c r="B16" s="5" t="s">
        <v>19</v>
      </c>
      <c r="C16" s="3">
        <v>80</v>
      </c>
      <c r="D16" s="4">
        <f>$C16*5.4/100</f>
        <v>4.32</v>
      </c>
      <c r="E16" s="4">
        <f>$C16*1/100</f>
        <v>0.8</v>
      </c>
      <c r="F16" s="4">
        <f>$C16*44.6/100</f>
        <v>35.68</v>
      </c>
      <c r="G16" s="4">
        <f>$C16*212/100</f>
        <v>169.6</v>
      </c>
      <c r="H16" s="15" t="s">
        <v>23</v>
      </c>
    </row>
    <row r="17" spans="1:8" ht="15.75" x14ac:dyDescent="0.25">
      <c r="A17" s="39"/>
      <c r="B17" s="5" t="s">
        <v>20</v>
      </c>
      <c r="C17" s="3">
        <v>30</v>
      </c>
      <c r="D17" s="4">
        <f>$C17*7.5/100</f>
        <v>2.25</v>
      </c>
      <c r="E17" s="4">
        <f>$C17*2.9/100</f>
        <v>0.87</v>
      </c>
      <c r="F17" s="4">
        <f>$C17*50.7/100</f>
        <v>15.21</v>
      </c>
      <c r="G17" s="4">
        <f>$C17*264/100</f>
        <v>79.2</v>
      </c>
      <c r="H17" s="15" t="s">
        <v>23</v>
      </c>
    </row>
    <row r="18" spans="1:8" ht="31.5" customHeight="1" x14ac:dyDescent="0.25">
      <c r="A18" s="40" t="s">
        <v>27</v>
      </c>
      <c r="B18" s="41"/>
      <c r="C18" s="6">
        <f>SUM(C11:C17)</f>
        <v>865</v>
      </c>
      <c r="D18" s="46">
        <f>SUM(D11:D17)</f>
        <v>35.048999999999999</v>
      </c>
      <c r="E18" s="46">
        <f>SUM(E11:E17)</f>
        <v>37.278499999999994</v>
      </c>
      <c r="F18" s="46">
        <f>SUM(F11:F17)</f>
        <v>192.88450000000003</v>
      </c>
      <c r="G18" s="46">
        <f>SUM(G11:G17)</f>
        <v>1349.35</v>
      </c>
      <c r="H18" s="17"/>
    </row>
    <row r="19" spans="1:8" ht="31.5" customHeight="1" thickBot="1" x14ac:dyDescent="0.3">
      <c r="A19" s="42" t="s">
        <v>28</v>
      </c>
      <c r="B19" s="43"/>
      <c r="C19" s="18">
        <f>C10+C18</f>
        <v>1450</v>
      </c>
      <c r="D19" s="47">
        <f t="shared" ref="D19:G19" si="0">D10+D18</f>
        <v>51.6</v>
      </c>
      <c r="E19" s="47">
        <f t="shared" si="0"/>
        <v>59.509999999999991</v>
      </c>
      <c r="F19" s="47">
        <f t="shared" si="0"/>
        <v>344.15000000000003</v>
      </c>
      <c r="G19" s="47">
        <f t="shared" si="0"/>
        <v>2133.08</v>
      </c>
      <c r="H19" s="19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</sheetData>
  <mergeCells count="6">
    <mergeCell ref="A19:B19"/>
    <mergeCell ref="C5:H5"/>
    <mergeCell ref="A6:A9"/>
    <mergeCell ref="A10:B10"/>
    <mergeCell ref="A11:A17"/>
    <mergeCell ref="A18:B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D17" sqref="D17:G18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70</v>
      </c>
      <c r="B5" s="10" t="s">
        <v>30</v>
      </c>
      <c r="C5" s="44"/>
      <c r="D5" s="44"/>
      <c r="E5" s="44"/>
      <c r="F5" s="44"/>
      <c r="G5" s="44"/>
      <c r="H5" s="45"/>
    </row>
    <row r="6" spans="1:8" ht="31.5" customHeight="1" x14ac:dyDescent="0.25">
      <c r="A6" s="39" t="s">
        <v>14</v>
      </c>
      <c r="B6" s="2" t="s">
        <v>31</v>
      </c>
      <c r="C6" s="3">
        <v>200</v>
      </c>
      <c r="D6" s="4">
        <f>$C$6*12.58/100</f>
        <v>25.16</v>
      </c>
      <c r="E6" s="4">
        <f>$C$6*30.24/100</f>
        <v>60.48</v>
      </c>
      <c r="F6" s="4">
        <f>$C$6*56.14/100</f>
        <v>112.28</v>
      </c>
      <c r="G6" s="4">
        <f>$C$6*148.5/100</f>
        <v>297</v>
      </c>
      <c r="H6" s="15" t="s">
        <v>32</v>
      </c>
    </row>
    <row r="7" spans="1:8" ht="31.5" customHeight="1" x14ac:dyDescent="0.25">
      <c r="A7" s="39"/>
      <c r="B7" s="5" t="s">
        <v>74</v>
      </c>
      <c r="C7" s="3">
        <v>90</v>
      </c>
      <c r="D7" s="4">
        <f>$C7*7.81/100</f>
        <v>7.0289999999999999</v>
      </c>
      <c r="E7" s="4">
        <f>$C7*10.49/100</f>
        <v>9.4410000000000007</v>
      </c>
      <c r="F7" s="4">
        <f>$C7*8.02/100</f>
        <v>7.218</v>
      </c>
      <c r="G7" s="4">
        <f>$C7*265/100</f>
        <v>238.5</v>
      </c>
      <c r="H7" s="15" t="s">
        <v>75</v>
      </c>
    </row>
    <row r="8" spans="1:8" ht="31.5" customHeight="1" x14ac:dyDescent="0.25">
      <c r="A8" s="39"/>
      <c r="B8" s="5" t="s">
        <v>76</v>
      </c>
      <c r="C8" s="3">
        <v>50</v>
      </c>
      <c r="D8" s="4">
        <f>$C8*8.16/100</f>
        <v>4.08</v>
      </c>
      <c r="E8" s="4">
        <f>$C8*17.23/100</f>
        <v>8.6150000000000002</v>
      </c>
      <c r="F8" s="4">
        <f>$C8*62.21/100</f>
        <v>31.105</v>
      </c>
      <c r="G8" s="4">
        <f>$C8*437/100</f>
        <v>218.5</v>
      </c>
      <c r="H8" s="15" t="s">
        <v>77</v>
      </c>
    </row>
    <row r="9" spans="1:8" ht="31.5" customHeight="1" x14ac:dyDescent="0.25">
      <c r="A9" s="39"/>
      <c r="B9" s="5" t="s">
        <v>19</v>
      </c>
      <c r="C9" s="3">
        <v>40</v>
      </c>
      <c r="D9" s="4">
        <f>$C9*5.4/100</f>
        <v>2.16</v>
      </c>
      <c r="E9" s="4">
        <f>$C9*1/100</f>
        <v>0.4</v>
      </c>
      <c r="F9" s="4">
        <f>$C9*44.6/100</f>
        <v>17.84</v>
      </c>
      <c r="G9" s="4">
        <f>$C9*212/100</f>
        <v>84.8</v>
      </c>
      <c r="H9" s="15" t="s">
        <v>23</v>
      </c>
    </row>
    <row r="10" spans="1:8" ht="31.5" customHeight="1" x14ac:dyDescent="0.25">
      <c r="A10" s="39"/>
      <c r="B10" s="5" t="s">
        <v>11</v>
      </c>
      <c r="C10" s="3">
        <v>200</v>
      </c>
      <c r="D10" s="4">
        <f>$C10*0/100</f>
        <v>0</v>
      </c>
      <c r="E10" s="4">
        <f>$C10*0/100</f>
        <v>0</v>
      </c>
      <c r="F10" s="4">
        <f>$C10*11.2/100</f>
        <v>22.4</v>
      </c>
      <c r="G10" s="4">
        <f>$C10*45/100</f>
        <v>90</v>
      </c>
      <c r="H10" s="15" t="s">
        <v>22</v>
      </c>
    </row>
    <row r="11" spans="1:8" ht="31.5" customHeight="1" x14ac:dyDescent="0.25">
      <c r="A11" s="40" t="s">
        <v>13</v>
      </c>
      <c r="B11" s="41"/>
      <c r="C11" s="6">
        <f>SUM(C6:C10)</f>
        <v>580</v>
      </c>
      <c r="D11" s="46">
        <f>SUM(D6:D10)</f>
        <v>38.429000000000002</v>
      </c>
      <c r="E11" s="46">
        <f>SUM(E6:E10)</f>
        <v>78.935999999999993</v>
      </c>
      <c r="F11" s="46">
        <f>SUM(F6:F10)</f>
        <v>190.84300000000002</v>
      </c>
      <c r="G11" s="46">
        <f>SUM(G6:G10)</f>
        <v>928.8</v>
      </c>
      <c r="H11" s="16"/>
    </row>
    <row r="12" spans="1:8" ht="31.5" customHeight="1" x14ac:dyDescent="0.25">
      <c r="A12" s="39" t="s">
        <v>29</v>
      </c>
      <c r="B12" s="2" t="s">
        <v>78</v>
      </c>
      <c r="C12" s="3">
        <v>250</v>
      </c>
      <c r="D12" s="4">
        <f>$C12*5.65/100</f>
        <v>14.125</v>
      </c>
      <c r="E12" s="4">
        <f>$C12*5.91/100</f>
        <v>14.775</v>
      </c>
      <c r="F12" s="4">
        <f>$C12*21.06/100</f>
        <v>52.65</v>
      </c>
      <c r="G12" s="4">
        <f>$C12*161/100</f>
        <v>402.5</v>
      </c>
      <c r="H12" s="15" t="s">
        <v>79</v>
      </c>
    </row>
    <row r="13" spans="1:8" ht="31.5" customHeight="1" x14ac:dyDescent="0.25">
      <c r="A13" s="39"/>
      <c r="B13" s="20" t="s">
        <v>80</v>
      </c>
      <c r="C13" s="3">
        <v>100</v>
      </c>
      <c r="D13" s="4">
        <f>$C13*16.15/100</f>
        <v>16.149999999999999</v>
      </c>
      <c r="E13" s="4">
        <f>$C13*7.02/100</f>
        <v>7.02</v>
      </c>
      <c r="F13" s="4">
        <f>$C13*4.79/100</f>
        <v>4.79</v>
      </c>
      <c r="G13" s="4">
        <f>$C13*147/100</f>
        <v>147</v>
      </c>
      <c r="H13" s="15" t="s">
        <v>90</v>
      </c>
    </row>
    <row r="14" spans="1:8" ht="31.5" customHeight="1" x14ac:dyDescent="0.25">
      <c r="A14" s="39"/>
      <c r="B14" s="2" t="s">
        <v>81</v>
      </c>
      <c r="C14" s="3">
        <v>150</v>
      </c>
      <c r="D14" s="4">
        <f>$C14*3.65/100</f>
        <v>5.4749999999999996</v>
      </c>
      <c r="E14" s="4">
        <f>$C14*3.32/100</f>
        <v>4.9800000000000004</v>
      </c>
      <c r="F14" s="4">
        <f>$C14*23.25/100</f>
        <v>34.875</v>
      </c>
      <c r="G14" s="4">
        <f>$C14*141/100</f>
        <v>211.5</v>
      </c>
      <c r="H14" s="15" t="s">
        <v>82</v>
      </c>
    </row>
    <row r="15" spans="1:8" ht="31.5" customHeight="1" x14ac:dyDescent="0.25">
      <c r="A15" s="39"/>
      <c r="B15" s="5" t="s">
        <v>18</v>
      </c>
      <c r="C15" s="3">
        <v>215</v>
      </c>
      <c r="D15" s="4">
        <f>$C15*0.2/100</f>
        <v>0.43</v>
      </c>
      <c r="E15" s="4">
        <f>$C15*0.05/100</f>
        <v>0.1075</v>
      </c>
      <c r="F15" s="4">
        <f>$C15*15.01/100</f>
        <v>32.271500000000003</v>
      </c>
      <c r="G15" s="4">
        <f>$C15*57/100</f>
        <v>122.55</v>
      </c>
      <c r="H15" s="15" t="s">
        <v>25</v>
      </c>
    </row>
    <row r="16" spans="1:8" ht="31.5" customHeight="1" x14ac:dyDescent="0.25">
      <c r="A16" s="39"/>
      <c r="B16" s="5" t="s">
        <v>19</v>
      </c>
      <c r="C16" s="3">
        <v>80</v>
      </c>
      <c r="D16" s="4">
        <f>$C16*5.4/100</f>
        <v>4.32</v>
      </c>
      <c r="E16" s="4">
        <f>$C16*1/100</f>
        <v>0.8</v>
      </c>
      <c r="F16" s="4">
        <f>$C16*44.6/100</f>
        <v>35.68</v>
      </c>
      <c r="G16" s="4">
        <f>$C16*212/100</f>
        <v>169.6</v>
      </c>
      <c r="H16" s="15" t="s">
        <v>23</v>
      </c>
    </row>
    <row r="17" spans="1:8" ht="31.5" customHeight="1" x14ac:dyDescent="0.25">
      <c r="A17" s="40" t="s">
        <v>27</v>
      </c>
      <c r="B17" s="41"/>
      <c r="C17" s="6">
        <f>SUM(C12:C16)</f>
        <v>795</v>
      </c>
      <c r="D17" s="46">
        <f>SUM(D12:D16)</f>
        <v>40.5</v>
      </c>
      <c r="E17" s="46">
        <f>SUM(E12:E16)</f>
        <v>27.682500000000005</v>
      </c>
      <c r="F17" s="46">
        <f>SUM(F12:F16)</f>
        <v>160.26650000000001</v>
      </c>
      <c r="G17" s="46">
        <f>SUM(G12:G16)</f>
        <v>1053.1499999999999</v>
      </c>
      <c r="H17" s="17"/>
    </row>
    <row r="18" spans="1:8" ht="31.5" customHeight="1" thickBot="1" x14ac:dyDescent="0.3">
      <c r="A18" s="42" t="s">
        <v>28</v>
      </c>
      <c r="B18" s="43"/>
      <c r="C18" s="18">
        <f>C11+C17</f>
        <v>1375</v>
      </c>
      <c r="D18" s="47">
        <f>D11+D17</f>
        <v>78.929000000000002</v>
      </c>
      <c r="E18" s="47">
        <f>E11+E17</f>
        <v>106.6185</v>
      </c>
      <c r="F18" s="47">
        <f>F11+F17</f>
        <v>351.10950000000003</v>
      </c>
      <c r="G18" s="47">
        <f>G11+G17</f>
        <v>1981.9499999999998</v>
      </c>
      <c r="H18" s="19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</sheetData>
  <mergeCells count="6">
    <mergeCell ref="A18:B18"/>
    <mergeCell ref="C5:H5"/>
    <mergeCell ref="A6:A10"/>
    <mergeCell ref="A11:B11"/>
    <mergeCell ref="A12:A16"/>
    <mergeCell ref="A17:B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showGridLines="0" workbookViewId="0">
      <selection activeCell="B13" sqref="B13:H13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70</v>
      </c>
      <c r="B5" s="10" t="s">
        <v>41</v>
      </c>
      <c r="C5" s="44"/>
      <c r="D5" s="44"/>
      <c r="E5" s="44"/>
      <c r="F5" s="44"/>
      <c r="G5" s="44"/>
      <c r="H5" s="45"/>
    </row>
    <row r="6" spans="1:8" ht="31.5" customHeight="1" x14ac:dyDescent="0.25">
      <c r="A6" s="39" t="s">
        <v>14</v>
      </c>
      <c r="B6" s="20" t="s">
        <v>44</v>
      </c>
      <c r="C6" s="3">
        <v>300</v>
      </c>
      <c r="D6" s="4">
        <f>$C6*18.99/100</f>
        <v>56.969999999999992</v>
      </c>
      <c r="E6" s="4">
        <f>$C6*7.18/100</f>
        <v>21.54</v>
      </c>
      <c r="F6" s="4">
        <f>$C6*30.8/100</f>
        <v>92.4</v>
      </c>
      <c r="G6" s="4">
        <f>$C6*267/100</f>
        <v>801</v>
      </c>
      <c r="H6" s="15" t="s">
        <v>45</v>
      </c>
    </row>
    <row r="7" spans="1:8" ht="31.5" customHeight="1" x14ac:dyDescent="0.25">
      <c r="A7" s="39"/>
      <c r="B7" s="5" t="s">
        <v>19</v>
      </c>
      <c r="C7" s="3">
        <v>40</v>
      </c>
      <c r="D7" s="4">
        <f>$C7*5.4/100</f>
        <v>2.16</v>
      </c>
      <c r="E7" s="4">
        <f>$C7*1/100</f>
        <v>0.4</v>
      </c>
      <c r="F7" s="4">
        <f>$C7*44.6/100</f>
        <v>17.84</v>
      </c>
      <c r="G7" s="4">
        <f>$C7*212/100</f>
        <v>84.8</v>
      </c>
      <c r="H7" s="15" t="s">
        <v>23</v>
      </c>
    </row>
    <row r="8" spans="1:8" ht="31.5" customHeight="1" x14ac:dyDescent="0.25">
      <c r="A8" s="39"/>
      <c r="B8" s="5" t="s">
        <v>18</v>
      </c>
      <c r="C8" s="3">
        <v>215</v>
      </c>
      <c r="D8" s="4">
        <f>$C8*0.2/100</f>
        <v>0.43</v>
      </c>
      <c r="E8" s="4">
        <f>$C8*0.05/100</f>
        <v>0.1075</v>
      </c>
      <c r="F8" s="4">
        <f>$C8*15.01/100</f>
        <v>32.271500000000003</v>
      </c>
      <c r="G8" s="4">
        <f>$C8*57/100</f>
        <v>122.55</v>
      </c>
      <c r="H8" s="15" t="s">
        <v>25</v>
      </c>
    </row>
    <row r="9" spans="1:8" ht="31.5" customHeight="1" x14ac:dyDescent="0.25">
      <c r="A9" s="40" t="s">
        <v>13</v>
      </c>
      <c r="B9" s="41"/>
      <c r="C9" s="6">
        <f>SUM(C6:C8)</f>
        <v>555</v>
      </c>
      <c r="D9" s="46">
        <f>SUM(D6:D8)</f>
        <v>59.559999999999995</v>
      </c>
      <c r="E9" s="46">
        <f>SUM(E6:E8)</f>
        <v>22.047499999999999</v>
      </c>
      <c r="F9" s="46">
        <f>SUM(F6:F8)</f>
        <v>142.51150000000001</v>
      </c>
      <c r="G9" s="46">
        <f>SUM(G6:G8)</f>
        <v>1008.3499999999999</v>
      </c>
      <c r="H9" s="16"/>
    </row>
    <row r="10" spans="1:8" ht="31.5" customHeight="1" x14ac:dyDescent="0.25">
      <c r="A10" s="39" t="s">
        <v>29</v>
      </c>
      <c r="B10" s="2" t="s">
        <v>43</v>
      </c>
      <c r="C10" s="3">
        <v>255</v>
      </c>
      <c r="D10" s="4">
        <f>$C10*2.06/100</f>
        <v>5.253000000000001</v>
      </c>
      <c r="E10" s="4">
        <f>$C10*5.27/100</f>
        <v>13.438499999999999</v>
      </c>
      <c r="F10" s="4">
        <f>$C10*13.01/100</f>
        <v>33.1755</v>
      </c>
      <c r="G10" s="4">
        <f>$C10*108/100</f>
        <v>275.39999999999998</v>
      </c>
      <c r="H10" s="15" t="s">
        <v>38</v>
      </c>
    </row>
    <row r="11" spans="1:8" ht="31.5" customHeight="1" x14ac:dyDescent="0.25">
      <c r="A11" s="39"/>
      <c r="B11" s="2" t="s">
        <v>71</v>
      </c>
      <c r="C11" s="3">
        <v>215</v>
      </c>
      <c r="D11" s="4">
        <f>$C11*6.07/100</f>
        <v>13.0505</v>
      </c>
      <c r="E11" s="4">
        <f>$C11*7.48/100</f>
        <v>16.082000000000001</v>
      </c>
      <c r="F11" s="4">
        <f>$C11*23.98/100</f>
        <v>51.556999999999995</v>
      </c>
      <c r="G11" s="4">
        <f>$C11*191/100</f>
        <v>410.65</v>
      </c>
      <c r="H11" s="15" t="s">
        <v>72</v>
      </c>
    </row>
    <row r="12" spans="1:8" ht="31.5" customHeight="1" x14ac:dyDescent="0.25">
      <c r="A12" s="39"/>
      <c r="B12" s="5" t="s">
        <v>20</v>
      </c>
      <c r="C12" s="3">
        <v>40</v>
      </c>
      <c r="D12" s="4">
        <f>$C12*7.5/100</f>
        <v>3</v>
      </c>
      <c r="E12" s="4">
        <f>$C12*2.9/100</f>
        <v>1.1599999999999999</v>
      </c>
      <c r="F12" s="4">
        <f>$C12*50.7/100</f>
        <v>20.28</v>
      </c>
      <c r="G12" s="4">
        <f>$C12*264/100</f>
        <v>105.6</v>
      </c>
      <c r="H12" s="15" t="s">
        <v>23</v>
      </c>
    </row>
    <row r="13" spans="1:8" ht="31.5" customHeight="1" x14ac:dyDescent="0.25">
      <c r="A13" s="39"/>
      <c r="B13" s="5" t="s">
        <v>18</v>
      </c>
      <c r="C13" s="3">
        <v>215</v>
      </c>
      <c r="D13" s="4">
        <f>$C13*0.2/100</f>
        <v>0.43</v>
      </c>
      <c r="E13" s="4">
        <f>$C13*0.05/100</f>
        <v>0.1075</v>
      </c>
      <c r="F13" s="4">
        <f>$C13*15.01/100</f>
        <v>32.271500000000003</v>
      </c>
      <c r="G13" s="4">
        <f>$C13*57/100</f>
        <v>122.55</v>
      </c>
      <c r="H13" s="15" t="s">
        <v>25</v>
      </c>
    </row>
    <row r="14" spans="1:8" ht="31.5" customHeight="1" x14ac:dyDescent="0.25">
      <c r="A14" s="39"/>
      <c r="B14" s="5" t="s">
        <v>19</v>
      </c>
      <c r="C14" s="3">
        <v>80</v>
      </c>
      <c r="D14" s="4">
        <f>$C14*5.4/100</f>
        <v>4.32</v>
      </c>
      <c r="E14" s="4">
        <f>$C14*1/100</f>
        <v>0.8</v>
      </c>
      <c r="F14" s="4">
        <f>$C14*44.6/100</f>
        <v>35.68</v>
      </c>
      <c r="G14" s="4">
        <f>$C14*212/100</f>
        <v>169.6</v>
      </c>
      <c r="H14" s="15" t="s">
        <v>23</v>
      </c>
    </row>
    <row r="15" spans="1:8" ht="31.5" customHeight="1" x14ac:dyDescent="0.25">
      <c r="A15" s="40" t="s">
        <v>27</v>
      </c>
      <c r="B15" s="41"/>
      <c r="C15" s="6">
        <f>SUM(C10:C14)</f>
        <v>805</v>
      </c>
      <c r="D15" s="46">
        <f>SUM(D10:D14)</f>
        <v>26.0535</v>
      </c>
      <c r="E15" s="46">
        <f>SUM(E10:E14)</f>
        <v>31.588000000000001</v>
      </c>
      <c r="F15" s="46">
        <f>SUM(F10:F14)</f>
        <v>172.964</v>
      </c>
      <c r="G15" s="46">
        <f>SUM(G10:G14)</f>
        <v>1083.8</v>
      </c>
      <c r="H15" s="17"/>
    </row>
    <row r="16" spans="1:8" ht="31.5" customHeight="1" thickBot="1" x14ac:dyDescent="0.3">
      <c r="A16" s="42" t="s">
        <v>28</v>
      </c>
      <c r="B16" s="43"/>
      <c r="C16" s="18">
        <f>C9+C15</f>
        <v>1360</v>
      </c>
      <c r="D16" s="47">
        <f>D9+D15</f>
        <v>85.613499999999988</v>
      </c>
      <c r="E16" s="47">
        <f>E9+E15</f>
        <v>53.6355</v>
      </c>
      <c r="F16" s="47">
        <f>F9+F15</f>
        <v>315.47550000000001</v>
      </c>
      <c r="G16" s="47">
        <f>G9+G15</f>
        <v>2092.1499999999996</v>
      </c>
      <c r="H16" s="19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</sheetData>
  <mergeCells count="6">
    <mergeCell ref="A16:B16"/>
    <mergeCell ref="C5:H5"/>
    <mergeCell ref="A6:A8"/>
    <mergeCell ref="A9:B9"/>
    <mergeCell ref="A10:A14"/>
    <mergeCell ref="A15:B15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URI="#idPackageObject" Type="http://www.w3.org/2000/09/xmldsig#Object">
      <DigestMethod Algorithm="urn:ietf:params:xml:ns:cpxmlsec:algorithms:gostr34112012-256"/>
      <DigestValue>WcOtT/eoiCo++qtFfav9VVs2NpyuBirbuGvD8jBK4jM=</DigestValue>
    </Reference>
    <Reference URI="#idOfficeObject" Type="http://www.w3.org/2000/09/xmldsig#Object">
      <DigestMethod Algorithm="urn:ietf:params:xml:ns:cpxmlsec:algorithms:gostr34112012-256"/>
      <DigestValue>9Mmw48i+yhfRZCWs9d2hFEArQ3oZNgLtP8Rpc5uxJs0=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2012-256"/>
      <DigestValue>bFxPeXDPGNxWzLhSpd7uJCFfbdSEiSsg/IYk4St7bIo=</DigestValue>
    </Reference>
    <Reference URI="#idValidSigLnImg" Type="http://www.w3.org/2000/09/xmldsig#Object">
      <DigestMethod Algorithm="urn:ietf:params:xml:ns:cpxmlsec:algorithms:gostr34112012-256"/>
      <DigestValue>E7Ly4NQKlcBvobpBfBpD2akiCLtHRqkHfHRYycb+yZY=</DigestValue>
    </Reference>
    <Reference URI="#idInvalidSigLnImg" Type="http://www.w3.org/2000/09/xmldsig#Object">
      <DigestMethod Algorithm="urn:ietf:params:xml:ns:cpxmlsec:algorithms:gostr34112012-256"/>
      <DigestValue>wNLmmkrBupfmpZMktzYBXY9LwZvffKtcU5mP1iNXkjU=</DigestValue>
    </Reference>
  </SignedInfo>
  <SignatureValue>epCPnqArZ6RyR39dcVQv6pMDyBpkoQzvnePMrmuqH5/fUQz8wl+KYeUDX4Alyo+o
CFHEeffkCQnxGJOVc3qXBQ==</SignatureValue>
  <KeyInfo>
    <X509Data>
      <X509Certificate>MIII/zCCCKygAwIBAgIUUZwMcpUufyud9/OSk1SX1PGydlkwCgYIKoUDBwEBAwIw
ggFtMSAwHgYJKoZIhvcNAQkBFhF1Y19ma0Byb3NrYXpuYS5ydTEZMBcGA1UECAwQ
0LMuINCc0L7RgdC60LLQsDEaMBgGCCqFAwOBAwEBEgwwMDc3MTA1Njg3NjAxGDAW
BgUqhQNkARINMTA0Nzc5NzAxOTgzMDFgMF4GA1UECQxX0JHQvtC70YzRiNC+0Lkg
0JfQu9Cw0YLQvtGD0YHRgtC40L3RgdC60LjQuSDQv9C10YDQtdGD0LvQvtC6LCDQ
tC4gNiwg0YHRgtGA0L7QtdC90LjQtSAxMRUwEwYDVQQHDAzQnNC+0YHQutCy0LAx
CzAJBgNVBAYTAlJVMTgwNgYDVQQKDC/QpNC10LTQtdGA0LDQu9GM0L3QvtC1INC6
0LDQt9C90LDRh9C10LnRgdGC0LLQvjE4MDYGA1UEAwwv0KTQtdC00LXRgNCw0LvR
jNC90L7QtSDQutCw0LfQvdCw0YfQtdC50YHRgtCy0L4wHhcNMjExMDE4MTI0NDQ5
WhcNMjMwMTE4MTI0NDQ5WjCCAc4xGjAYBggqhQMDgQMBARIMNjcwNTAxNDUzMDk4
MRYwFAYFKoUDZAMSCzExNjk4MjEyNzc0MRwwGgYJKoZIhvcNAQkBFg1vemR1aEBt
YWlsLnJ1MQswCQYDVQQGEwJSVTEsMCoGA1UECAwj0KHQvNC+0LvQtdC90YHQutCw
0Y8g0L7QsdC70LDRgdGC0YwxFzAVBgNVBAcMDtCe0LfQtdGA0L3Ri9C5MYGlMIGi
BgNVBAoMgZrQnNCj0J3QmNCm0JjQn9CQ0JvQrNCd0J7QlSDQkdCu0JTQltCV0KLQ
ndCe0JUg0J7QkdCp0JXQntCR0KDQkNCX0J7QktCQ0KLQldCb0KzQndCe0JUg0KPQ
p9Cg0JXQltCU0JXQndCY0JUg0J7Ql9CV0KDQndCV0J3QodCa0JDQryDQodCg0JXQ
lNCd0K/QryDQqNCa0J7Qm9CQMSwwKgYDVQQqDCPQndCw0YLQsNC70YzRjyDQndC4
0LrQvtC70LDQtdCy0L3QsDEVMBMGA1UEBAwM0KjQuNC70L7QstCwMTkwNwYDVQQD
DDDQqNC40LvQvtCy0LAg0J3QsNGC0LDQu9GM0Y8g0J3QuNC60L7Qu9Cw0LXQstC9
0LAwZjAfBggqhQMHAQEBATATBgcqhQMCAiQABggqhQMHAQECAgNDAARAbOOjCkoH
kGC1i1fwaotYRL7LQqD5Q6h/nW0rkIAspUI+l7X2cqlp/5vBQMoGS7ELjCFpQRFD
smRvPnqDxFWrQaOCBLYwggSyMAwGA1UdEwEB/wQCMAAwRAYIKwYBBQUHAQEEODA2
MDQGCCsGAQUFBzAChihodHRwOi8vY3JsLnJvc2them5hLnJ1L2NybC91Y2ZrXzIw
MjEuY3J0MBMGA1UdIAQMMAowCAYGKoUDZHEBMCgGA1UdEQQhMB+gHQYKKoUDAz2e
1zYBCKAPEw0wMzYzMzAwMDAwMjcwMDYGBSqFA2RvBC0MKyLQmtGA0LjQv9GC0L7Q
n9GA0L4gQ1NQIiAo0LLQtdGA0YHQuNGPIDUuMCkwggFkBgUqhQNkcASCAVkwggFV
DEci0JrRgNC40L/RgtC+0J/RgNC+IENTUCIg0LLQtdGA0YHQuNGPIDQuMCAo0LjR
gdC/0L7Qu9C90LXQvdC40LUgMi1CYXNlKQxo0J/RgNC+0LPRgNCw0LzQvNC90L4t
0LDQv9C/0LDRgNCw0YLQvdGL0Lkg0LrQvtC80L/Qu9C10LrRgSDCq9Cu0L3QuNGB
0LXRgNGCLdCT0J7QodCiwrsuINCS0LXRgNGB0LjRjyAzLjAMT9Ch0LXRgNGC0LjR
hNC40LrQsNGCINGB0L7QvtGC0LLQtdGC0YHRgtCy0LjRjyDihJYg0KHQpC8xMjQt
Mzk2NiDQvtGCIDE1LjAxLjIwMjEMT9Ch0LXRgNGC0LjRhNC40LrQsNGCINGB0L7Q
vtGC0LLQtdGC0YHRgtCy0LjRjyDihJYg0KHQpC8xMjgtMzU4MSDQvtGCIDIwLjEy
LjIwMTgwDAYFKoUDZHIEAwIBATAOBgNVHQ8BAf8EBAMCA/gwRQYDVR0lBD4wPAYI
KwYBBQUHAwIGDSqFAwM9ntc2AQYDBQEGDSqFAwM9ntc2AQYDBQIGCCqFAwOBewgB
BggqhQMDgXsIAjArBgNVHRAEJDAigA8yMDIxMTAxODEyMTExM1qBDzIwMjMwMTE4
MTIxMTEzWjCCAWAGA1UdIwSCAVcwggFTgBRVMPEMnHdDsiTcBlktXAG2cdRkNqGC
ASykggEoMIIBJDEeMBwGCSqGSIb3DQEJARYPZGl0QG1pbnN2eWF6LnJ1MQswCQYD
VQQGEwJSVTEYMBYGA1UECAwPNzcg0JzQvtGB0LrQstCwMRkwFwYDVQQHDBDQsy4g
0JzQvtGB0LrQstCwMS4wLAYDVQQJDCXRg9C70LjRhtCwINCi0LLQtdGA0YHQutCw
0Y8sINC00L7QvCA3MSwwKgYDVQQKDCPQnNC40L3QutC+0LzRgdCy0Y/Qt9GMINCg
0L7RgdGB0LjQuDEYMBYGBSqFA2QBEg0xMDQ3NzAyMDI2NzAxMRowGAYIKoUDA4ED
AQESDDAwNzcxMDQ3NDM3NTEsMCoGA1UEAwwj0JzQuNC90LrQvtC80YHQstGP0LfR
jCDQoNC+0YHRgdC40LiCCwDLxpgzAAAAAAVuMGgGA1UdHwRhMF8wLqAsoCqGKGh0
dHA6Ly9jcmwucm9za2F6bmEucnUvY3JsL3VjZmtfMjAyMS5jcmwwLaAroCmGJ2h0
dHA6Ly9jcmwuZnNmay5sb2NhbC9jcmwvdWNma18yMDIxLmNybDAdBgNVHQ4EFgQU
zCwbcaTjs53K449OQLcGZgFWGtcwCgYIKoUDBwEBAwIDQQD35EHtt1Fg8/+vNDFl
yDn+vs1tnC8zWhJb62HavX3TdyRBjm9468DLL6YgdetyH4hws+bLMRt2oPD3nhro
6hd4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e6EjjVXi7TgJboLDkxdcAGm6NaA=</DigestValue>
      </Reference>
      <Reference URI="/xl/calcChain.xml?ContentType=application/vnd.openxmlformats-officedocument.spreadsheetml.calcChain+xml">
        <DigestMethod Algorithm="http://www.w3.org/2000/09/xmldsig#sha1"/>
        <DigestValue>QESF164SAO4mWCI6p3GqYqmeTCc=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SRVgBScn/Kd3lJpyT3zFbTHmBAc=</DigestValue>
      </Reference>
      <Reference URI="/xl/media/image1.emf?ContentType=image/x-emf">
        <DigestMethod Algorithm="http://www.w3.org/2000/09/xmldsig#sha1"/>
        <DigestValue>S09ZFXqA5TIOGrxaCN0pr4XH9pQ=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PCTmIr7rHO3FV3RzD1ItERnfQPk=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PCTmIr7rHO3FV3RzD1ItERnfQPk=</DigestValue>
      </Reference>
      <Reference URI="/xl/sharedStrings.xml?ContentType=application/vnd.openxmlformats-officedocument.spreadsheetml.sharedStrings+xml">
        <DigestMethod Algorithm="http://www.w3.org/2000/09/xmldsig#sha1"/>
        <DigestValue>DF3F+sN8DIRBL4BdWlBmRBwEQ6A=</DigestValue>
      </Reference>
      <Reference URI="/xl/styles.xml?ContentType=application/vnd.openxmlformats-officedocument.spreadsheetml.styles+xml">
        <DigestMethod Algorithm="http://www.w3.org/2000/09/xmldsig#sha1"/>
        <DigestValue>ia3Q8pNVf5UDPt4A1I8hmHFmbFY=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0V15zxQapoJnWPquHPghKp2EziE=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7MhIpVCzeRcpMNMzOrYcZ8lZxB8=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sII253Z34mcnyEAyvO34fPDmwlc=</DigestValue>
      </Reference>
      <Reference URI="/xl/worksheets/sheet10.xml?ContentType=application/vnd.openxmlformats-officedocument.spreadsheetml.worksheet+xml">
        <DigestMethod Algorithm="http://www.w3.org/2000/09/xmldsig#sha1"/>
        <DigestValue>0oU27gVUhrmnZBrrs0Byyb0LeVg=</DigestValue>
      </Reference>
      <Reference URI="/xl/worksheets/sheet11.xml?ContentType=application/vnd.openxmlformats-officedocument.spreadsheetml.worksheet+xml">
        <DigestMethod Algorithm="http://www.w3.org/2000/09/xmldsig#sha1"/>
        <DigestValue>lS2PrEfPZw0qUp/lklcOmcXXEr8=</DigestValue>
      </Reference>
      <Reference URI="/xl/worksheets/sheet2.xml?ContentType=application/vnd.openxmlformats-officedocument.spreadsheetml.worksheet+xml">
        <DigestMethod Algorithm="http://www.w3.org/2000/09/xmldsig#sha1"/>
        <DigestValue>+VZGNWGB6OlQw/m9tdbBIlYkZVU=</DigestValue>
      </Reference>
      <Reference URI="/xl/worksheets/sheet3.xml?ContentType=application/vnd.openxmlformats-officedocument.spreadsheetml.worksheet+xml">
        <DigestMethod Algorithm="http://www.w3.org/2000/09/xmldsig#sha1"/>
        <DigestValue>EVMgB5sfvmWSnjby975u/EUGkLQ=</DigestValue>
      </Reference>
      <Reference URI="/xl/worksheets/sheet4.xml?ContentType=application/vnd.openxmlformats-officedocument.spreadsheetml.worksheet+xml">
        <DigestMethod Algorithm="http://www.w3.org/2000/09/xmldsig#sha1"/>
        <DigestValue>Y8oGCAHxEqMBbDtSNbdOrmXSXFE=</DigestValue>
      </Reference>
      <Reference URI="/xl/worksheets/sheet5.xml?ContentType=application/vnd.openxmlformats-officedocument.spreadsheetml.worksheet+xml">
        <DigestMethod Algorithm="http://www.w3.org/2000/09/xmldsig#sha1"/>
        <DigestValue>neJ/L+VAqFFQFU6QLQHpjRCitbg=</DigestValue>
      </Reference>
      <Reference URI="/xl/worksheets/sheet6.xml?ContentType=application/vnd.openxmlformats-officedocument.spreadsheetml.worksheet+xml">
        <DigestMethod Algorithm="http://www.w3.org/2000/09/xmldsig#sha1"/>
        <DigestValue>ad/fWu33ab+q/JUcN9E97cXHZ8g=</DigestValue>
      </Reference>
      <Reference URI="/xl/worksheets/sheet7.xml?ContentType=application/vnd.openxmlformats-officedocument.spreadsheetml.worksheet+xml">
        <DigestMethod Algorithm="http://www.w3.org/2000/09/xmldsig#sha1"/>
        <DigestValue>D/c5l5i2CDNBeYvqVymuQ7NPyOc=</DigestValue>
      </Reference>
      <Reference URI="/xl/worksheets/sheet8.xml?ContentType=application/vnd.openxmlformats-officedocument.spreadsheetml.worksheet+xml">
        <DigestMethod Algorithm="http://www.w3.org/2000/09/xmldsig#sha1"/>
        <DigestValue>Jr43f/p/z4eoGlnfGINLwTNU9gI=</DigestValue>
      </Reference>
      <Reference URI="/xl/worksheets/sheet9.xml?ContentType=application/vnd.openxmlformats-officedocument.spreadsheetml.worksheet+xml">
        <DigestMethod Algorithm="http://www.w3.org/2000/09/xmldsig#sha1"/>
        <DigestValue>qXHXmk5QeC9QDVU3eI30fYERroo=</DigestValue>
      </Reference>
    </Manifest>
    <SignatureProperties>
      <SignatureProperty Id="idSignatureTime" Target="#idPackageSignature">
        <mdssi:SignatureTime>
          <mdssi:Format>YYYY-MM-DDThh:mm:ssTZD</mdssi:Format>
          <mdssi:Value>2022-10-07T16:40:35Z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>{55FF873B-E4E3-4464-8992-BEF288763BCD}</SetupID>
          <SignatureText>УТВЕРЖДАЮ</SignatureText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2022-10-07T16:40:35Z</xd:SigningTime>
          <xd:SigningCertificate>
            <xd:Cert>
              <xd:CertDigest>
                <DigestMethod Algorithm="http://www.w3.org/2000/09/xmldsig#sha1"/>
                <DigestValue>cojBRF7qVbNEm0cOIt0lkby7oWk=</DigestValue>
              </xd:CertDigest>
              <xd:IssuerSerial>
                <X509IssuerName>CN=Федеральное казначейство, O=Федеральное казначейство, C=RU, L=Москва, STREET="Большой Златоустинский переулок, д. 6, строение 1", ОГРН=1047797019830, ИНН=007710568760, S=г. Москва, E=uc_fk@roskazna.ru</X509IssuerName>
                <X509SerialNumber>465908253025619185132073440931051097276470687321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  <Object Id="idValidSigLnImg">AQAAAGwAAAAAAAAAAAAAAP8AAAB/AAAAAAAAAAAAAADLGAAAaQwAACBFTUYAAAEAsBkAAJ0AAAAGAAAAAAAAAAAAAAAAAAAAgAcAADgEAADcAQAADAEAAAAAAAAAAAAAAAAAAGBD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AAAAAAAAAAAlAAAADAAAAAEAAABMAAAAZAAAAAAAAAAAAAAA//////////8AAAAAFgAAAAAAAAA1AAAAIQDwAAAAAAAAAAAAAACAPwAAAAAAAAAAAACAPwAAAAAAAAAAAAAAAAAAAAAAAAAAAAAAAAAAAAAAAAAAJQAAAAwAAAAAAACAKAAAAAwAAAABAAAAJwAAABgAAAABAAAAAAAAAAAAAAAAAAAAJQAAAAwAAAABAAAATAAAAGQAAAAAAAAAAAAAAP//////////AAAAABYAAAAAAQAAAAAAACEA8AAAAAAAAAAAAAAAgD8AAAAAAAAAAAAAgD8AAAAAAAAAAAAAAAAAAAAAAAAAAAAAAAAAAAAAAAAAACUAAAAMAAAAAAAAgCgAAAAMAAAAAQAAACcAAAAYAAAAAQAAAAAAAAAAAAAAAAAAACUAAAAMAAAAAQAAAEwAAABkAAAAAAAAAAAAAAD//////////wABAAAWAAAAAAAAADUAAAAhAPAAAAAAAAAAAAAAAIA/AAAAAAAAAAAAAIA/AAAAAAAAAAAAAAAAAAAAAAAAAAAAAAAAAAAAAAAAAAAlAAAADAAAAAAAAIAoAAAADAAAAAEAAAAnAAAAGAAAAAEAAAAAAAAAAAAAAAAAAAAlAAAADAAAAAEAAABMAAAAZAAAAAAAAABLAAAA/wAAAEwAAAAAAAAASwAAAAABAAACAAAAIQDwAAAAAAAAAAAAAACAPwAAAAAAAAAAAACAPwAAAAAAAAAAAAAAAAAAAAAAAAAAAAAAAAAAAAAAAAAAJQAAAAwAAAAAAACAKAAAAAwAAAABAAAAJwAAABgAAAABAAAAAAAAAP///wAAAAAAJQAAAAwAAAABAAAATAAAAGQAAAAAAAAAFgAAAP8AAABKAAAAAAAAABYAAAAAAQAANQAAACEA8AAAAAAAAAAAAAAAgD8AAAAAAAAAAAAAgD8AAAAAAAAAAAAAAAAAAAAAAAAAAAAAAAAAAAAAAAAAACUAAAAMAAAAAAAAgCgAAAAMAAAAAQAAACcAAAAYAAAAAQAAAAAAAAD///8AAAAAACUAAAAMAAAAAQAAAEwAAABkAAAACQAAACcAAAAfAAAASgAAAAkAAAAnAAAAFwAAACQAAAAhAPAAAAAAAAAAAAAAAIA/AAAAAAAAAAAAAIA/AAAAAAAAAAAAAAAAAAAAAAAAAAAAAAAAAAAAAAAAAAAlAAAADAAAAAAAAIAoAAAADAAAAAEAAABSAAAAcAEAAAEAAADg////AAAAAAAAAAAAAAAAkAEAAAAAAAEAAAAAYQByAGkAYQBsAAAAAAAAAAAAAAAAAAAAAAAAAAAAAAAAAAAAAAAAAAAAAAAAAAAAAAAAAAAAAAAAAAAAAAAAAAAAXgCu9UV3M0BeABSfrHnUEAp6VEBeAEyxg3lsQF4AbLqIeXBCsXkBAAAAZJ2seYhPrndQSBwLKFduAgEAAABknax5fJ2seaAlIgugJSILtEBeAAAAAAA0E7F5AQAAAGSdrHl8nax5HCaGzwCAzAhYQl4AyfRFd6hAXgDg////AABFdyhXbgLg////AAAAAAAAAAAAAAAAkAEAAAAAAAEAAAAAYQByAGkAYQBsAAAAAAAAAAAAAAAAAAAAAAAAAAAAAAAAAAAAcaFfdwAAAAAGAAAADEJeAAxCXgAAAgAA/P///wEAAAAAAAAAAAAAAAAAAAAAAAAAAAAAAGgCAABkdgAIAAAAACUAAAAMAAAAAQAAABgAAAAMAAAAAAAAAhIAAAAMAAAAAQAAABYAAAAMAAAACAAAAFQAAABUAAAACgAAACcAAAAeAAAASgAAAAEAAABVVcZBvoTGQQoAAABLAAAAAQAAAEwAAAAEAAAACQAAACcAAAAgAAAASwAAAFAAAABYAJdYFQAAABYAAAAMAAAAAAAAAFIAAABwAQAAAgAAABAAAAAHAAAAAAAAAAAAAAC8AgAAAAAAzAECAiJTAHkAcwB0AGUAbQAAAAAAAAAAAAAAAAAAAAAAAAAAAAAAAAAAAAAAAAAAAAAAAAAAAAAAAAAAAAAAAAAAAAAAAACAebDKpgB2tH55AAAyAjAuMgIAAAAAQNmGz8qxfnmUwV4AyfRFd+S/XgD1////AABFd2AAAAD1////3V1+eQAAAACAFjICvDJuAoDNdALdXX55AAAAAIAVMgKAsoECAELACSDAXgC/WX55sMqmAPwBAABcwF4AY1l+efwBAAAAAAAAaFl+ef9wfrr8AQAAsMqmAICygQIAAAAAvMqmADTAXgB4zF4AsDp8egAAAABoWX55GVl+efwBAAAAAAAAAAAAAAcAAAAAAAAAcaFfdwAAAAAHAAAAmMFeAJjBXgAAAgAA/P///wEAAAAAAAAAAAAAAAAAAACkDwAA5MTCdWR2AAgAAAAAJQAAAAwAAAACAAAAJwAAABgAAAADAAAAAAAAAP///wAAAAAAJQAAAAwAAAADAAAATAAAAGQAAAApAAAAGQAAAPYAAABKAAAAKQAAABkAAADOAAAAMgAAACEA8AAAAAAAAAAAAAAAgD8AAAAAAAAAAAAAgD8AAAAAAAAAAAAAAAAAAAAAAAAAAAAAAAAAAAAAAAAAACUAAAAMAAAAAAAAgCgAAAAMAAAAAwAAACcAAAAYAAAAAwAAAAAAAAD///8AAAAAACUAAAAMAAAAAwAAAEwAAABkAAAAKQAAABkAAAD2AAAARwAAACkAAAAZAAAAzgAAAC8AAAAhAPAAAAAAAAAAAAAAAIA/AAAAAAAAAAAAAIA/AAAAAAAAAAAAAAAAAAAAAAAAAAAAAAAAAAAAAAAAAAAlAAAADAAAAAAAAIAoAAAADAAAAAMAAAAnAAAAGAAAAAMAAAAAAAAA////AAAAAAAlAAAADAAAAAMAAABMAAAAZAAAACkAAAA1AAAAiwAAAEcAAAApAAAANQAAAGMAAAATAAAAIQDwAAAAAAAAAAAAAACAPwAAAAAAAAAAAACAPwAAAAAAAAAAAAAAAAAAAAAAAAAAAAAAAAAAAAAAAAAAJQAAAAwAAAAAAACAKAAAAAwAAAADAAAAUgAAAHABAAADAAAA8P///wAAAAAAAAAAAAAAAJABAAAAAAABAAAAAHQAYQBoAG8AbQBhAAAAAAAAAAAAAAAAAAAAAAAAAAAAAAAAAAAAAAAAAAAAAAAAAAAAAAAAAAAAAAAAAAAAAAAAAF4ArvVFdyBAXgCAcop5Yg4KbnoiNUAgQF4AWGeKeQAAAAAXAAAAfLK6eWhninmFDgrwlN+7CeCu2wjA2HQCAAAAAAAAAAAAAAAAIAAAALwCAAAAAADMAQICIlMAeQBzAHQAZQBtAHxZhs8AAAAAuEFeAMn0RXcIQF4A8P///wAARXcAAAAA8P///wAAAAAAAAAAAAAAAJABAAAAAAABAAAAAHQAYQBoAG8AbQBhAAAAAAAAAAAAAAAAAAAAAAAAAAAAAAAAAHGhX3cAAAAABwAAAGxBXgBsQV4AAAIAAPz///8BAAAAAAAAAAAAAAAAAAAAAAAAAAAAAAAYFgAAZHYACAAAAAAlAAAADAAAAAMAAAAYAAAADAAAAAAAAAISAAAADAAAAAEAAAAeAAAAGAAAACkAAAA1AAAAjAAAAEgAAAAlAAAADAAAAAMAAABUAAAAhAAAACkAAAA1AAAAigAAAEcAAAABAAAAVVXGQb6ExkEqAAAANQAAAAkAAABMAAAAAAAAAAAAAAAAAAAA//////////9gAAAAIwQiBBIEFQQgBBYEFAQQBC4E414JAAAACgAAAAkAAAAJAAAACQAAAA4AAAALAAAACwAAAA8AAABLAAAAQAAAADAAAAAFAAAAIAAAAAEAAAABAAAAEAAAAAAAAAAAAAAAAAEAAIAAAAAAAAAAAAAAAAABAACAAAAAJQAAAAwAAAACAAAAJwAAABgAAAAEAAAAAAAAAP///wAAAAAAJQAAAAwAAAAEAAAATAAAAGQAAAAAAAAAUAAAAP8AAAB8AAAAAAAAAFAAAAAAAQAALQAAACEA8AAAAAAAAAAAAAAAgD8AAAAAAAAAAAAAgD8AAAAAAAAAAAAAAAAAAAAAAAAAAAAAAAAAAAAAAAAAACUAAAAMAAAAAAAAgCgAAAAMAAAABAAAACcAAAAYAAAABAAAAAAAAAD///8AAAAAACUAAAAMAAAABAAAAEwAAABkAAAACQAAAFAAAAD2AAAAXAAAAAkAAABQAAAA7gAAAA0AAAAhAPAAAAAAAAAAAAAAAIA/AAAAAAAAAAAAAIA/AAAAAAAAAAAAAAAAAAAAAAAAAAAAAAAAAAAAAAAAAAAlAAAADAAAAAAAAIAoAAAADAAAAAQAAABSAAAAcAEAAAQAAAD1////AAAAAAAAAAAAAAAAkAEAAAAAAAEAAAAAdABhAGgAbwBtAGEAAAAAAAAAAAAAAAAAAAAAAAAAAAAAAAAAAAAAAAAAAAAAAAAAAAAAAAAAAAAAAAAAAAAAAAAAXgCu9UV3EFEkh/i8XgA4DwoQgGqGeTQAAAAAAAAADRIBbYQAAAEBAAAAAAAAAA0SAW1Ys6oAAAAAAAAAgD0AAAAAcBQAAA0Sbf8AAAAAAAAAAAFtAQAAAAAAAAAAAA0SAW1Ys6oAdNqGz+zAXgDAvl4AyfRFdxC9XgD1////AABFd2C9THf1////AAAAAAAAAAAAAAAAkAEAAAAAAAEAAAAAdABhAGgAbwBtAGEAAAAAAAAAAAAAAAAAAAAAAAAAAAAAAAAAcaFfdwAAAAAHAAAAdL5eAHS+XgAAAgAA/P///wEAAAAAAAAAAAAAAAAAAAAAAAAAAAAAAGwIAABkdgAIAAAAACUAAAAMAAAABAAAABgAAAAMAAAAAAAAAhIAAAAMAAAAAQAAAB4AAAAYAAAACQAAAFAAAAD3AAAAXQAAACUAAAAMAAAABAAAAFQAAACQAAAACgAAAFAAAABKAAAAXAAAAAEAAABVVcZBvoTGQQoAAABQAAAACwAAAEwAAAAAAAAAAAAAAAAAAAD//////////2QAAAAdBC4AHQQuACAAKAQ4BDsEPgQyBDAEHGQHAAAABAAAAAcAAAAEAAAAAwAAAAoAAAAGAAAABgAAAAYAAAAGAAAABg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EAAAAGAAAAAwAAAAAAAACEgAAAAwAAAABAAAAHgAAABgAAAAJAAAAYAAAAPcAAABtAAAAJQAAAAwAAAAEAAAAVAAAAKAAAAAKAAAAYAAAAGAAAABsAAAAAQAAAFVVxkG+hMZBCgAAAGAAAAAOAAAATAAAAAAAAAAAAAAAAAAAAP//////////aAAAABQEOARABDUEOgRCBD4EQAQgAEgEOgQ+BDsESwQIAAAABgAAAAYAAAAGAAAABgAAAAYAAAAGAAAABgAAAAMAAAAIAAAABgAAAAYAAAAGAAAACAAAAEsAAABAAAAAMAAAAAUAAAAgAAAAAQAAAAEAAAAQAAAAAAAAAAAAAAAAAQAAgAAAAAAAAAAAAAAAAAEAAIAAAAAlAAAADAAAAAIAAAAnAAAAGAAAAAUAAAAAAAAA////AAAAAAAlAAAADAAAAAUAAABMAAAAZAAAAAkAAABwAAAA3gAAAHwAAAAJAAAAcAAAANYAAAANAAAAIQDwAAAAAAAAAAAAAACAPwAAAAAAAAAAAACAPwAAAAAAAAAAAAAAAAAAAAAAAAAAAAAAAAAAAAAAAAAAJQAAAAwAAAAAAACAKAAAAAwAAAAFAAAAJQAAAAwAAAAEAAAAGAAAAAwAAAAAAAACEgAAAAwAAAABAAAAFgAAAAwAAAAAAAAAVAAAACQBAAAKAAAAcAAAAN0AAAB8AAAAAQAAAFVVxkG+hMZBCgAAAHAAAAAkAAAATAAAAAQAAAAJAAAAcAAAAN8AAAB9AAAAlAAAAB8EPgQ0BD8EOARBBDAEPQQ+BDoAIAAoBDgEOwQ+BDIEMAQgAB0EMARCBDAEOwRMBE8EIAAdBDgEOgQ+BDsEMAQ1BDIEPQQwBAcAAAAGAAAABwAAAAYAAAAGAAAABQAAAAYAAAAGAAAABgAAAAQAAAADAAAACgAAAAYAAAAGAAAABgAAAAYAAAAGAAAAAwAAAAcAAAAGAAAABgAAAAYAAAAGAAAABgAAAAYAAAADAAAABwAAAAYAAAAGAAAABgAAAAYAAAAGAAAABgAAAAYAAAAGAAAABgAAABYAAAAMAAAAAAAAACUAAAAMAAAAAgAAAA4AAAAUAAAAAAAAABAAAAAUAAAA</Object>
  <Object Id="idInvalidSigLnImg">AQAAAGwAAAAAAAAAAAAAAP8AAAB/AAAAAAAAAAAAAADLGAAAaQwAACBFTUYAAAEAPB8AALAAAAAGAAAAAAAAAAAAAAAAAAAAgAcAADgEAADcAQAADAEAAAAAAAAAAAAAAAAAAGBD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BMUY4AAAAAAAAAAAAAAAAWFhZNTU9UVFZmed5PUmEiIiIUFBRUVVpBSG9rAE1QcwAAAAAAAAAAAAAAABYWFmlpcnR0gBMv71djvVpaXGdpcklZwkhPlXQAKysrDhQXERcaEBUYMzg8W2Flh46SjpWYHEH/OFPsgIesbXzHJD7bUVV6cgAGBgaHr79WdoZvkaNvj6NbdIuivsutytZ+k/cxVP9FY/M6We9ZaLEyMjRpABYWFn2er8y6rdrJvdrIvcy8tezj4vHq6Obm8oid/zld/3SI/3FzgQ4OD2kAZ26Nu93o/9jA/9jA/9jA/93L/+zd/+7gyMr9aoH/W3j/X3z/lJ3GLy8wAABAQEB2jZnjwKugcFCpfWLSsJ367+b/+PBgeP97jv/a3P+tuP9ZfP9teq14ADk5Ob3j7/nt3uXe0t/WzvDn5pyq/I2e/4KT/Ozl9v/u5uXs6JGhzWt6x2UABwcHjrHD0evxQbrjJqfPhs3epLn3pLP67OXt/+zg/+fZwMfEhpypSUpKMQAAAACly9y86PYtvOk7w+1TvNvo7Oz/9PD/7uf/6OD/5tnDz89vj5sXGBg0AAAAAKXL3Nnx+GLJ6i266VvI6Ovv7//08P/v4P/r4P/o3cPR02mImwECAmkAAAAAmLzE+f392fD4vOf21PL5+vz6//36//Dp/+3g/+Xbs7y/ZISVAQICbgAAAACt2ueEpq2hx9CZw9B2mq295fPI8v+Cnaqx0t9whJSStsRtjKEBAgLKzXCYsHSaspCowIKhsoKhspCowGaMpGCIoImiuW2LnZCowGuIm1BwgAECAuvmJwAAABgAAAABAAAAAAAAAP///wAAAAAAJQAAAAwAAAABAAAATAAAAGQAAAAiAAAABAAAALEAAAAQAAAAIgAAAAQAAACQAAAADQAAACEA8AAAAAAAAAAAAAAAgD8AAAAAAAAAAAAAgD8AAAAAAAAAAAAAAAAAAAAAAAAAAAAAAAAAAAAAAAAAACUAAAAMAAAAAAAAgCgAAAAMAAAAAQAAAFIAAABwAQAAAQAAAPX///8AAAAAAAAAAAAAAACQAQAAAAAAAQAAAAB0AGEAaABvAG0AYQAAAAAAAAAAAAAAAAAAAAAAAAAAAAAAAAAAAAAAAAAAAAAAAAAAAAAAAAAAAAAAAAAAAAAAAABeAK71RXcQUSSH+LxeADgPChCAaoZ5NAAAAAAAAAANEgFthAAAAQEAAAAAAAAADRIBbVizqgAAAAAAAACAPQAAAABwFAAADRJt/wAAAAAAAAAAAW0BAAAAAAAAAAAADRIBbVizqgB02obP7MBeAMC+XgDJ9EV3EL1eAPX///8AAEV3YL1Md/X///8AAAAAAAAAAAAAAACQAQAAAAAAAQAAAAB0AGEAaABvAG0AYQAAAAAAAAAAAAAAAAAAAAAAAAAAAAAAAABxoV93AAAAAAcAAAB0vl4AdL5eAAACAAD8////AQAAAAAAAAAAAAAAAAAAAAAAAAAAAAAAbAgAAGR2AAgAAAAAJQAAAAwAAAABAAAAGAAAAAwAAAD/AAACEgAAAAwAAAABAAAAHgAAABgAAAAiAAAABAAAALIAAAARAAAAJQAAAAwAAAABAAAAVAAAANwAAAAjAAAABAAAALAAAAAQAAAAAQAAAFVVxkG+hMZBIwAAAAQAAAAYAAAATAAAAAAAAAAAAAAAAAAAAP//////////fAAAAB0ENQQ0BDUEOQRBBEIEMgQ4BEIENQQ7BEwEPQQwBE8EIAA/BD4ENAQ/BDgEQQRMBAcAAAAGAAAABwAAAAYAAAAGAAAABQAAAAYAAAAGAAAABgAAAAYAAAAGAAAABgAAAAYAAAAGAAAABgAAAAYAAAADAAAABgAAAAYAAAAHAAAABgAAAAYAAAAFAAAABgAAAEsAAABAAAAAMAAAAAUAAAAgAAAAAQAAAAEAAAAQAAAAAAAAAAAAAAAAAQAAgAAAAAAAAAAAAAAAAAEAAIAAAABSAAAAcAEAAAIAAAAQAAAABwAAAAAAAAAAAAAAvAIAAAAAAMwBAgIiUwB5AHMAdABlAG0AAAAAAAAAAAAAAAAAAAAAAAAAAAAAAAAAAAAAAAAAAAAAAAAAAAAAAAAAAAAAAAAAAAAAAAAAgHmwyqYAdrR+eQAAMgIwLjICAAAAAEDZhs/KsX55lMFeAMn0RXfkv14A9f///wAARXdgAAAA9f///91dfnkAAAAAgBYyArwybgKAzXQC3V1+eQAAAACAFTICgLKBAgBCwAkgwF4Av1l+ebDKpgD8AQAAXMBeAGNZfnn8AQAAAAAAAGhZfnn/cH66/AEAALDKpgCAsoECAAAAALzKpgA0wF4AeMxeALA6fHoAAAAAaFl+eRlZfnn8AQAAAAAAAAAAAAAHAAAAAAAAAHGhX3cAAAAABwAAAJjBXgCYwV4AAAIAAPz///8BAAAAAAAAAAAAAAAAAAAApA8AAOTEwnVkdgAIAAAAACUAAAAMAAAAAgAAACcAAAAYAAAAAwAAAAAAAAAAAAAAAAAAACUAAAAMAAAAAwAAAEwAAABkAAAAAAAAAAAAAAD//////////wAAAAAWAAAAAAAAADUAAAAhAPAAAAAAAAAAAAAAAIA/AAAAAAAAAAAAAIA/AAAAAAAAAAAAAAAAAAAAAAAAAAAAAAAAAAAAAAAAAAAlAAAADAAAAAAAAIAoAAAADAAAAAMAAAAnAAAAGAAAAAMAAAAAAAAAAAAAAAAAAAAlAAAADAAAAAMAAABMAAAAZAAAAAAAAAAAAAAA//////////8AAAAAFgAAAAABAAAAAAAAIQDwAAAAAAAAAAAAAACAPwAAAAAAAAAAAACAPwAAAAAAAAAAAAAAAAAAAAAAAAAAAAAAAAAAAAAAAAAAJQAAAAwAAAAAAACAKAAAAAwAAAADAAAAJwAAABgAAAADAAAAAAAAAAAAAAAAAAAAJQAAAAwAAAADAAAATAAAAGQAAAAAAAAAAAAAAP//////////AAEAABYAAAAAAAAANQAAACEA8AAAAAAAAAAAAAAAgD8AAAAAAAAAAAAAgD8AAAAAAAAAAAAAAAAAAAAAAAAAAAAAAAAAAAAAAAAAACUAAAAMAAAAAAAAgCgAAAAMAAAAAwAAACcAAAAYAAAAAwAAAAAAAAAAAAAAAAAAACUAAAAMAAAAAwAAAEwAAABkAAAAAAAAAEsAAAD/AAAATAAAAAAAAABLAAAAAAEAAAIAAAAhAPAAAAAAAAAAAAAAAIA/AAAAAAAAAAAAAIA/AAAAAAAAAAAAAAAAAAAAAAAAAAAAAAAAAAAAAAAAAAAlAAAADAAAAAAAAIAoAAAADAAAAAMAAAAnAAAAGAAAAAMAAAAAAAAA////AAAAAAAlAAAADAAAAAMAAABMAAAAZAAAAAAAAAAWAAAA/wAAAEoAAAAAAAAAFgAAAAABAAA1AAAAIQDwAAAAAAAAAAAAAACAPwAAAAAAAAAAAACAPwAAAAAAAAAAAAAAAAAAAAAAAAAAAAAAAAAAAAAAAAAAJQAAAAwAAAAAAACAKAAAAAwAAAADAAAAJwAAABgAAAADAAAAAAAAAP///wAAAAAAJQAAAAwAAAADAAAATAAAAGQAAAAJAAAAJwAAAB8AAABKAAAACQAAACcAAAAXAAAAJAAAACEA8AAAAAAAAAAAAAAAgD8AAAAAAAAAAAAAgD8AAAAAAAAAAAAAAAAAAAAAAAAAAAAAAAAAAAAAAAAAACUAAAAMAAAAAAAAgCgAAAAMAAAAAwAAAFIAAABwAQAAAwAAAOD///8AAAAAAAAAAAAAAACQAQAAAAAAAQAAAABhAHIAaQBhAGwAAAAAAAAAAAAAAAAAAAAAAAAAAAAAAAAAAAAAAAAAAAAAAAAAAAAAAAAAAAAAAAAAAAAAAAAAAABeAK71RXczQF4AFJ+sedQQCnpUQF4ATLGDeWxAXgBsuoh5cEKxeQEAAABknax5iE+ud1BIHAsoV24CAQAAAGSdrHl8nax5oCUiC6AlIgu0QF4AAAAAADQTsXkBAAAAZJ2seXydrHkcJobPAIDMCFhCXgDJ9EV3qEBeAOD///8AAEV3KFduAuD///8AAAAAAAAAAAAAAACQAQAAAAAAAQAAAABhAHIAaQBhAGwAAAAAAAAAAAAAAAAAAAAAAAAAAAAAAAAAAABxoV93AAAAAAYAAAAMQl4ADEJeAAACAAD8////AQAAAAAAAAAAAAAAAAAAAAAAAAAAAAAAaAIAAGR2AAgAAAAAJQAAAAwAAAADAAAAGAAAAAwAAAAAAAACEgAAAAwAAAABAAAAFgAAAAwAAAAIAAAAVAAAAFQAAAAKAAAAJwAAAB4AAABKAAAAAQAAAFVVxkG+hMZBCgAAAEsAAAABAAAATAAAAAQAAAAJAAAAJwAAACAAAABLAAAAUAAAAFgAAAAVAAAAFgAAAAwAAAAAAAAAJQAAAAwAAAACAAAAJwAAABgAAAAEAAAAAAAAAP///wAAAAAAJQAAAAwAAAAEAAAATAAAAGQAAAApAAAAGQAAAPYAAABKAAAAKQAAABkAAADOAAAAMg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nAAAAGAAAAAQAAAAAAAAA////AAAAAAAlAAAADAAAAAQAAABMAAAAZAAAACkAAAA1AAAAiwAAAEcAAAApAAAANQAAAGMAAAATAAAAIQDwAAAAAAAAAAAAAACAPwAAAAAAAAAAAACAPwAAAAAAAAAAAAAAAAAAAAAAAAAAAAAAAAAAAAAAAAAAJQAAAAwAAAAAAACAKAAAAAwAAAAEAAAAUgAAAHABAAAEAAAA8P///wAAAAAAAAAAAAAAAJABAAAAAAABAAAAAHQAYQBoAG8AbQBhAAAAAAAAAAAAAAAAAAAAAAAAAAAAAAAAAAAAAAAAAAAAAAAAAAAAAAAAAAAAAAAAAAAAAAAAAF4ArvVFdyBAXgCAcop5Yg4KbnoiNUAgQF4AWGeKeQAAAAAXAAAAfLK6eWhninmFDgrwlN+7CeCu2wjA2HQCAAAAAAAAAAAAAAAAIAAAALwCAAAAAADMAQICIlMAeQBzAHQAZQBtAHxZhs8AAAAAuEFeAMn0RXcIQF4A8P///wAARXcAAAAA8P///wAAAAAAAAAAAAAAAJABAAAAAAABAAAAAHQAYQBoAG8AbQBhAAAAAAAAAAAAAAAAAAAAAAAAAAAAAAAAAHGhX3cAAAAABwAAAGxBXgBsQV4AAAIAAPz///8BAAAAAAAAAAAAAAAAAAAAAAAAAAAAAAAYFgAAZHYACAAAAAAlAAAADAAAAAQAAAAYAAAADAAAAAAAAAISAAAADAAAAAEAAAAeAAAAGAAAACkAAAA1AAAAjAAAAEgAAAAlAAAADAAAAAQAAABUAAAAhAAAACkAAAA1AAAAigAAAEcAAAABAAAAVVXGQb6ExkEqAAAANQAAAAkAAABMAAAAAAAAAAAAAAAAAAAA//////////9gAAAAIwQiBBIEFQQgBBYEFAQQBC4EAAAJAAAACgAAAAkAAAAJAAAACQAAAA4AAAALAAAACwAAAA8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ISAAAADAAAAAEAAAAeAAAAGAAAAAkAAABQAAAA9wAAAF0AAAAlAAAADAAAAAEAAABUAAAAkAAAAAoAAABQAAAASgAAAFwAAAABAAAAVVXGQb6ExkEKAAAAUAAAAAsAAABMAAAAAAAAAAAAAAAAAAAA//////////9kAAAAHQQuAB0ELgAgACgEOAQ7BD4EMgQwBAAABwAAAAQAAAAHAAAABAAAAAMAAAAKAAAABgAAAAYAAAAGAAAABgAAAAY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CgAAAACgAAAGAAAABgAAAAbAAAAAEAAABVVcZBvoTGQQoAAABgAAAADgAAAEwAAAAAAAAAAAAAAAAAAAD//////////2gAAAAUBDgEQAQ1BDoEQgQ+BEAEIABIBDoEPgQ7BEsECAAAAAYAAAAGAAAABgAAAAYAAAAGAAAABgAAAAYAAAADAAAACAAAAAYAAAAGAAAABgAAAAgAAABLAAAAQAAAADAAAAAFAAAAIAAAAAEAAAABAAAAEAAAAAAAAAAAAAAAAAEAAIAAAAAAAAAAAAAAAAABAACAAAAAJQAAAAwAAAACAAAAJwAAABgAAAAFAAAAAAAAAP///wAAAAAAJQAAAAwAAAAFAAAATAAAAGQAAAAJAAAAcAAAAN4AAAB8AAAACQAAAHAAAADWAAAADQAAACEA8AAAAAAAAAAAAAAAgD8AAAAAAAAAAAAAgD8AAAAAAAAAAAAAAAAAAAAAAAAAAAAAAAAAAAAAAAAAACUAAAAMAAAAAAAAgCgAAAAMAAAABQAAACUAAAAMAAAAAQAAABgAAAAMAAAAAAAAAhIAAAAMAAAAAQAAABYAAAAMAAAAAAAAAFQAAAAkAQAACgAAAHAAAADdAAAAfAAAAAEAAABVVcZBvoTGQQoAAABwAAAAJAAAAEwAAAAEAAAACQAAAHAAAADfAAAAfQAAAJQAAAAfBD4ENAQ/BDgEQQQwBD0EPgQ6ACAAKAQ4BDsEPgQyBDAEIAAdBDAEQgQwBDsETARPBCAAHQQ4BDoEPgQ7BDAENQQyBD0EMAQHAAAABgAAAAcAAAAGAAAABgAAAAUAAAAGAAAABgAAAAYAAAAEAAAAAwAAAAoAAAAGAAAABgAAAAYAAAAGAAAABgAAAAMAAAAHAAAABgAAAAYAAAAGAAAABgAAAAYAAAAGAAAAAwAAAAcAAAAGAAAABgAAAAYAAAAGAAAABgAAAAYAAAAGAAAABgAAAAYAAAAWAAAADAAAAAAAAAAlAAAADAAAAAIAAAAOAAAAFAAAAAAAAAAQAAAAFAAAAA==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URI="#idPackageObject" Type="http://www.w3.org/2000/09/xmldsig#Object">
      <DigestMethod Algorithm="urn:ietf:params:xml:ns:cpxmlsec:algorithms:gostr34112012-256"/>
      <DigestValue>TxGAhb2cG3E9gWgWcmHx546DpeioT2UCci5kwEWlR9Q=</DigestValue>
    </Reference>
    <Reference URI="#idOfficeObject" Type="http://www.w3.org/2000/09/xmldsig#Object">
      <DigestMethod Algorithm="urn:ietf:params:xml:ns:cpxmlsec:algorithms:gostr34112012-256"/>
      <DigestValue>H+AmYYQ8ys+nGY7jL0a0il0H/rYwSoIxZYm7xNpY848=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2012-256"/>
      <DigestValue>22sXkk28Qkj23VKse878wc9leg2rvWb1RGKmhhAiRng=</DigestValue>
    </Reference>
  </SignedInfo>
  <SignatureValue>mFDS+J8F8VhVaQfCeL+iypWzcKrePpfvhxEHGO0622HwW4cw0+Qk3JanwAqlNWfi
A1tBzBH/AhGYtX5yX8iMeQ==</SignatureValue>
  <KeyInfo>
    <X509Data>
      <X509Certificate>MIII/zCCCKygAwIBAgIUUZwMcpUufyud9/OSk1SX1PGydlkwCgYIKoUDBwEBAwIw
ggFtMSAwHgYJKoZIhvcNAQkBFhF1Y19ma0Byb3NrYXpuYS5ydTEZMBcGA1UECAwQ
0LMuINCc0L7RgdC60LLQsDEaMBgGCCqFAwOBAwEBEgwwMDc3MTA1Njg3NjAxGDAW
BgUqhQNkARINMTA0Nzc5NzAxOTgzMDFgMF4GA1UECQxX0JHQvtC70YzRiNC+0Lkg
0JfQu9Cw0YLQvtGD0YHRgtC40L3RgdC60LjQuSDQv9C10YDQtdGD0LvQvtC6LCDQ
tC4gNiwg0YHRgtGA0L7QtdC90LjQtSAxMRUwEwYDVQQHDAzQnNC+0YHQutCy0LAx
CzAJBgNVBAYTAlJVMTgwNgYDVQQKDC/QpNC10LTQtdGA0LDQu9GM0L3QvtC1INC6
0LDQt9C90LDRh9C10LnRgdGC0LLQvjE4MDYGA1UEAwwv0KTQtdC00LXRgNCw0LvR
jNC90L7QtSDQutCw0LfQvdCw0YfQtdC50YHRgtCy0L4wHhcNMjExMDE4MTI0NDQ5
WhcNMjMwMTE4MTI0NDQ5WjCCAc4xGjAYBggqhQMDgQMBARIMNjcwNTAxNDUzMDk4
MRYwFAYFKoUDZAMSCzExNjk4MjEyNzc0MRwwGgYJKoZIhvcNAQkBFg1vemR1aEBt
YWlsLnJ1MQswCQYDVQQGEwJSVTEsMCoGA1UECAwj0KHQvNC+0LvQtdC90YHQutCw
0Y8g0L7QsdC70LDRgdGC0YwxFzAVBgNVBAcMDtCe0LfQtdGA0L3Ri9C5MYGlMIGi
BgNVBAoMgZrQnNCj0J3QmNCm0JjQn9CQ0JvQrNCd0J7QlSDQkdCu0JTQltCV0KLQ
ndCe0JUg0J7QkdCp0JXQntCR0KDQkNCX0J7QktCQ0KLQldCb0KzQndCe0JUg0KPQ
p9Cg0JXQltCU0JXQndCY0JUg0J7Ql9CV0KDQndCV0J3QodCa0JDQryDQodCg0JXQ
lNCd0K/QryDQqNCa0J7Qm9CQMSwwKgYDVQQqDCPQndCw0YLQsNC70YzRjyDQndC4
0LrQvtC70LDQtdCy0L3QsDEVMBMGA1UEBAwM0KjQuNC70L7QstCwMTkwNwYDVQQD
DDDQqNC40LvQvtCy0LAg0J3QsNGC0LDQu9GM0Y8g0J3QuNC60L7Qu9Cw0LXQstC9
0LAwZjAfBggqhQMHAQEBATATBgcqhQMCAiQABggqhQMHAQECAgNDAARAbOOjCkoH
kGC1i1fwaotYRL7LQqD5Q6h/nW0rkIAspUI+l7X2cqlp/5vBQMoGS7ELjCFpQRFD
smRvPnqDxFWrQaOCBLYwggSyMAwGA1UdEwEB/wQCMAAwRAYIKwYBBQUHAQEEODA2
MDQGCCsGAQUFBzAChihodHRwOi8vY3JsLnJvc2them5hLnJ1L2NybC91Y2ZrXzIw
MjEuY3J0MBMGA1UdIAQMMAowCAYGKoUDZHEBMCgGA1UdEQQhMB+gHQYKKoUDAz2e
1zYBCKAPEw0wMzYzMzAwMDAwMjcwMDYGBSqFA2RvBC0MKyLQmtGA0LjQv9GC0L7Q
n9GA0L4gQ1NQIiAo0LLQtdGA0YHQuNGPIDUuMCkwggFkBgUqhQNkcASCAVkwggFV
DEci0JrRgNC40L/RgtC+0J/RgNC+IENTUCIg0LLQtdGA0YHQuNGPIDQuMCAo0LjR
gdC/0L7Qu9C90LXQvdC40LUgMi1CYXNlKQxo0J/RgNC+0LPRgNCw0LzQvNC90L4t
0LDQv9C/0LDRgNCw0YLQvdGL0Lkg0LrQvtC80L/Qu9C10LrRgSDCq9Cu0L3QuNGB
0LXRgNGCLdCT0J7QodCiwrsuINCS0LXRgNGB0LjRjyAzLjAMT9Ch0LXRgNGC0LjR
hNC40LrQsNGCINGB0L7QvtGC0LLQtdGC0YHRgtCy0LjRjyDihJYg0KHQpC8xMjQt
Mzk2NiDQvtGCIDE1LjAxLjIwMjEMT9Ch0LXRgNGC0LjRhNC40LrQsNGCINGB0L7Q
vtGC0LLQtdGC0YHRgtCy0LjRjyDihJYg0KHQpC8xMjgtMzU4MSDQvtGCIDIwLjEy
LjIwMTgwDAYFKoUDZHIEAwIBATAOBgNVHQ8BAf8EBAMCA/gwRQYDVR0lBD4wPAYI
KwYBBQUHAwIGDSqFAwM9ntc2AQYDBQEGDSqFAwM9ntc2AQYDBQIGCCqFAwOBewgB
BggqhQMDgXsIAjArBgNVHRAEJDAigA8yMDIxMTAxODEyMTExM1qBDzIwMjMwMTE4
MTIxMTEzWjCCAWAGA1UdIwSCAVcwggFTgBRVMPEMnHdDsiTcBlktXAG2cdRkNqGC
ASykggEoMIIBJDEeMBwGCSqGSIb3DQEJARYPZGl0QG1pbnN2eWF6LnJ1MQswCQYD
VQQGEwJSVTEYMBYGA1UECAwPNzcg0JzQvtGB0LrQstCwMRkwFwYDVQQHDBDQsy4g
0JzQvtGB0LrQstCwMS4wLAYDVQQJDCXRg9C70LjRhtCwINCi0LLQtdGA0YHQutCw
0Y8sINC00L7QvCA3MSwwKgYDVQQKDCPQnNC40L3QutC+0LzRgdCy0Y/Qt9GMINCg
0L7RgdGB0LjQuDEYMBYGBSqFA2QBEg0xMDQ3NzAyMDI2NzAxMRowGAYIKoUDA4ED
AQESDDAwNzcxMDQ3NDM3NTEsMCoGA1UEAwwj0JzQuNC90LrQvtC80YHQstGP0LfR
jCDQoNC+0YHRgdC40LiCCwDLxpgzAAAAAAVuMGgGA1UdHwRhMF8wLqAsoCqGKGh0
dHA6Ly9jcmwucm9za2F6bmEucnUvY3JsL3VjZmtfMjAyMS5jcmwwLaAroCmGJ2h0
dHA6Ly9jcmwuZnNmay5sb2NhbC9jcmwvdWNma18yMDIxLmNybDAdBgNVHQ4EFgQU
zCwbcaTjs53K449OQLcGZgFWGtcwCgYIKoUDBwEBAwIDQQD35EHtt1Fg8/+vNDFl
yDn+vs1tnC8zWhJb62HavX3TdyRBjm9468DLL6YgdetyH4hws+bLMRt2oPD3nhro
6hd4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e6EjjVXi7TgJboLDkxdcAGm6NaA=</DigestValue>
      </Reference>
      <Reference URI="/xl/calcChain.xml?ContentType=application/vnd.openxmlformats-officedocument.spreadsheetml.calcChain+xml">
        <DigestMethod Algorithm="http://www.w3.org/2000/09/xmldsig#sha1"/>
        <DigestValue>QESF164SAO4mWCI6p3GqYqmeTCc=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SRVgBScn/Kd3lJpyT3zFbTHmBAc=</DigestValue>
      </Reference>
      <Reference URI="/xl/media/image1.emf?ContentType=image/x-emf">
        <DigestMethod Algorithm="http://www.w3.org/2000/09/xmldsig#sha1"/>
        <DigestValue>S09ZFXqA5TIOGrxaCN0pr4XH9pQ=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PCTmIr7rHO3FV3RzD1ItERnfQPk=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PCTmIr7rHO3FV3RzD1ItERnfQPk=</DigestValue>
      </Reference>
      <Reference URI="/xl/sharedStrings.xml?ContentType=application/vnd.openxmlformats-officedocument.spreadsheetml.sharedStrings+xml">
        <DigestMethod Algorithm="http://www.w3.org/2000/09/xmldsig#sha1"/>
        <DigestValue>DF3F+sN8DIRBL4BdWlBmRBwEQ6A=</DigestValue>
      </Reference>
      <Reference URI="/xl/styles.xml?ContentType=application/vnd.openxmlformats-officedocument.spreadsheetml.styles+xml">
        <DigestMethod Algorithm="http://www.w3.org/2000/09/xmldsig#sha1"/>
        <DigestValue>ia3Q8pNVf5UDPt4A1I8hmHFmbFY=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0V15zxQapoJnWPquHPghKp2EziE=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7MhIpVCzeRcpMNMzOrYcZ8lZxB8=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sII253Z34mcnyEAyvO34fPDmwlc=</DigestValue>
      </Reference>
      <Reference URI="/xl/worksheets/sheet10.xml?ContentType=application/vnd.openxmlformats-officedocument.spreadsheetml.worksheet+xml">
        <DigestMethod Algorithm="http://www.w3.org/2000/09/xmldsig#sha1"/>
        <DigestValue>0oU27gVUhrmnZBrrs0Byyb0LeVg=</DigestValue>
      </Reference>
      <Reference URI="/xl/worksheets/sheet11.xml?ContentType=application/vnd.openxmlformats-officedocument.spreadsheetml.worksheet+xml">
        <DigestMethod Algorithm="http://www.w3.org/2000/09/xmldsig#sha1"/>
        <DigestValue>lS2PrEfPZw0qUp/lklcOmcXXEr8=</DigestValue>
      </Reference>
      <Reference URI="/xl/worksheets/sheet2.xml?ContentType=application/vnd.openxmlformats-officedocument.spreadsheetml.worksheet+xml">
        <DigestMethod Algorithm="http://www.w3.org/2000/09/xmldsig#sha1"/>
        <DigestValue>+VZGNWGB6OlQw/m9tdbBIlYkZVU=</DigestValue>
      </Reference>
      <Reference URI="/xl/worksheets/sheet3.xml?ContentType=application/vnd.openxmlformats-officedocument.spreadsheetml.worksheet+xml">
        <DigestMethod Algorithm="http://www.w3.org/2000/09/xmldsig#sha1"/>
        <DigestValue>EVMgB5sfvmWSnjby975u/EUGkLQ=</DigestValue>
      </Reference>
      <Reference URI="/xl/worksheets/sheet4.xml?ContentType=application/vnd.openxmlformats-officedocument.spreadsheetml.worksheet+xml">
        <DigestMethod Algorithm="http://www.w3.org/2000/09/xmldsig#sha1"/>
        <DigestValue>Y8oGCAHxEqMBbDtSNbdOrmXSXFE=</DigestValue>
      </Reference>
      <Reference URI="/xl/worksheets/sheet5.xml?ContentType=application/vnd.openxmlformats-officedocument.spreadsheetml.worksheet+xml">
        <DigestMethod Algorithm="http://www.w3.org/2000/09/xmldsig#sha1"/>
        <DigestValue>neJ/L+VAqFFQFU6QLQHpjRCitbg=</DigestValue>
      </Reference>
      <Reference URI="/xl/worksheets/sheet6.xml?ContentType=application/vnd.openxmlformats-officedocument.spreadsheetml.worksheet+xml">
        <DigestMethod Algorithm="http://www.w3.org/2000/09/xmldsig#sha1"/>
        <DigestValue>ad/fWu33ab+q/JUcN9E97cXHZ8g=</DigestValue>
      </Reference>
      <Reference URI="/xl/worksheets/sheet7.xml?ContentType=application/vnd.openxmlformats-officedocument.spreadsheetml.worksheet+xml">
        <DigestMethod Algorithm="http://www.w3.org/2000/09/xmldsig#sha1"/>
        <DigestValue>D/c5l5i2CDNBeYvqVymuQ7NPyOc=</DigestValue>
      </Reference>
      <Reference URI="/xl/worksheets/sheet8.xml?ContentType=application/vnd.openxmlformats-officedocument.spreadsheetml.worksheet+xml">
        <DigestMethod Algorithm="http://www.w3.org/2000/09/xmldsig#sha1"/>
        <DigestValue>Jr43f/p/z4eoGlnfGINLwTNU9gI=</DigestValue>
      </Reference>
      <Reference URI="/xl/worksheets/sheet9.xml?ContentType=application/vnd.openxmlformats-officedocument.spreadsheetml.worksheet+xml">
        <DigestMethod Algorithm="http://www.w3.org/2000/09/xmldsig#sha1"/>
        <DigestValue>qXHXmk5QeC9QDVU3eI30fYERroo=</DigestValue>
      </Reference>
    </Manifest>
    <SignatureProperties>
      <SignatureProperty Id="idSignatureTime" Target="#idPackageSignature">
        <mdssi:SignatureTime>
          <mdssi:Format>YYYY-MM-DDThh:mm:ssTZD</mdssi:Format>
          <mdssi:Value>2022-10-07T16:40:51Z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2022-10-07T16:40:51Z</xd:SigningTime>
          <xd:SigningCertificate>
            <xd:Cert>
              <xd:CertDigest>
                <DigestMethod Algorithm="http://www.w3.org/2000/09/xmldsig#sha1"/>
                <DigestValue>cojBRF7qVbNEm0cOIt0lkby7oWk=</DigestValue>
              </xd:CertDigest>
              <xd:IssuerSerial>
                <X509IssuerName>CN=Федеральное казначейство, O=Федеральное казначейство, C=RU, L=Москва, STREET="Большой Златоустинский переулок, д. 6, строение 1", ОГРН=1047797019830, ИНН=007710568760, S=г. Москва, E=uc_fk@roskazna.ru</X509IssuerName>
                <X509SerialNumber>465908253025619185132073440931051097276470687321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Титул</vt:lpstr>
      <vt:lpstr>Н1_Д1</vt:lpstr>
      <vt:lpstr>Н1_Д2</vt:lpstr>
      <vt:lpstr>Н1_Д3</vt:lpstr>
      <vt:lpstr>Н1_Д4</vt:lpstr>
      <vt:lpstr>Н1_Д5</vt:lpstr>
      <vt:lpstr>Н2_Д1</vt:lpstr>
      <vt:lpstr>Н2_Д2</vt:lpstr>
      <vt:lpstr>Н2_Д3</vt:lpstr>
      <vt:lpstr>Н2_Д4</vt:lpstr>
      <vt:lpstr>Н2_Д5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2022-10-07T16:40:31Z</dcterms:modified>
</cp:coreProperties>
</file>