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Титул" sheetId="11" r:id="rId1"/>
    <sheet name="Н1_Д1" sheetId="1" r:id="rId2"/>
    <sheet name="Н1_Д2" sheetId="2" r:id="rId3"/>
    <sheet name="Н1_Д3" sheetId="3" r:id="rId4"/>
    <sheet name="Н1_Д4" sheetId="4" r:id="rId5"/>
    <sheet name="Н1_Д5" sheetId="5" r:id="rId6"/>
    <sheet name="Н2_Д1" sheetId="6" r:id="rId7"/>
    <sheet name="Н2_Д2" sheetId="7" r:id="rId8"/>
    <sheet name="Н2_Д3" sheetId="8" r:id="rId9"/>
    <sheet name="Н2_Д4" sheetId="9" r:id="rId10"/>
    <sheet name="Н2_Д5" sheetId="10" r:id="rId11"/>
  </sheets>
  <calcPr calcId="145621"/>
</workbook>
</file>

<file path=xl/calcChain.xml><?xml version="1.0" encoding="utf-8"?>
<calcChain xmlns="http://schemas.openxmlformats.org/spreadsheetml/2006/main">
  <c r="G12" i="1" l="1"/>
  <c r="F12" i="1"/>
  <c r="E12" i="1"/>
  <c r="D12" i="1"/>
  <c r="F17" i="1"/>
  <c r="F18" i="1" s="1"/>
  <c r="G14" i="10"/>
  <c r="F14" i="10"/>
  <c r="E14" i="10"/>
  <c r="D14" i="10"/>
  <c r="G6" i="8"/>
  <c r="G9" i="8" s="1"/>
  <c r="F6" i="8"/>
  <c r="E6" i="8"/>
  <c r="D6" i="8"/>
  <c r="G12" i="3"/>
  <c r="F12" i="3"/>
  <c r="E12" i="3"/>
  <c r="D12" i="3"/>
  <c r="G13" i="1"/>
  <c r="F13" i="1"/>
  <c r="E13" i="1"/>
  <c r="G17" i="1"/>
  <c r="G18" i="1" s="1"/>
  <c r="D13" i="1"/>
  <c r="G12" i="10"/>
  <c r="F12" i="10"/>
  <c r="E12" i="10"/>
  <c r="D12" i="10"/>
  <c r="G13" i="10"/>
  <c r="F13" i="10"/>
  <c r="E13" i="10"/>
  <c r="D13" i="10"/>
  <c r="G11" i="10"/>
  <c r="F11" i="10"/>
  <c r="E11" i="10"/>
  <c r="D11" i="10"/>
  <c r="G9" i="10"/>
  <c r="F9" i="10"/>
  <c r="E9" i="10"/>
  <c r="D9" i="10"/>
  <c r="G8" i="10"/>
  <c r="F8" i="10"/>
  <c r="E8" i="10"/>
  <c r="D8" i="10"/>
  <c r="G7" i="10"/>
  <c r="F7" i="10"/>
  <c r="E7" i="10"/>
  <c r="D7" i="10"/>
  <c r="G6" i="10"/>
  <c r="F6" i="10"/>
  <c r="E6" i="10"/>
  <c r="D6" i="10"/>
  <c r="C16" i="10"/>
  <c r="G15" i="10"/>
  <c r="F15" i="10"/>
  <c r="E15" i="10"/>
  <c r="D15" i="10"/>
  <c r="C10" i="10"/>
  <c r="D10" i="10"/>
  <c r="G16" i="9"/>
  <c r="F16" i="9"/>
  <c r="E16" i="9"/>
  <c r="D16" i="9"/>
  <c r="G15" i="9"/>
  <c r="F15" i="9"/>
  <c r="E15" i="9"/>
  <c r="D15" i="9"/>
  <c r="G14" i="9"/>
  <c r="F14" i="9"/>
  <c r="E14" i="9"/>
  <c r="D14" i="9"/>
  <c r="G13" i="9"/>
  <c r="F13" i="9"/>
  <c r="E13" i="9"/>
  <c r="E18" i="9" s="1"/>
  <c r="D13" i="9"/>
  <c r="G12" i="9"/>
  <c r="F12" i="9"/>
  <c r="E12" i="9"/>
  <c r="D12" i="9"/>
  <c r="G8" i="9"/>
  <c r="F8" i="9"/>
  <c r="E8" i="9"/>
  <c r="D8" i="9"/>
  <c r="G10" i="9"/>
  <c r="F10" i="9"/>
  <c r="E10" i="9"/>
  <c r="D10" i="9"/>
  <c r="G7" i="9"/>
  <c r="G11" i="9" s="1"/>
  <c r="F7" i="9"/>
  <c r="E7" i="9"/>
  <c r="D7" i="9"/>
  <c r="D11" i="9" s="1"/>
  <c r="G6" i="9"/>
  <c r="F6" i="9"/>
  <c r="E6" i="9"/>
  <c r="D6" i="9"/>
  <c r="C18" i="9"/>
  <c r="G17" i="9"/>
  <c r="F17" i="9"/>
  <c r="F18" i="9" s="1"/>
  <c r="E17" i="9"/>
  <c r="D17" i="9"/>
  <c r="C11" i="9"/>
  <c r="G9" i="9"/>
  <c r="F9" i="9"/>
  <c r="E9" i="9"/>
  <c r="D9" i="9"/>
  <c r="F11" i="9"/>
  <c r="G12" i="8"/>
  <c r="F12" i="8"/>
  <c r="E12" i="8"/>
  <c r="D12" i="8"/>
  <c r="G11" i="8"/>
  <c r="F11" i="8"/>
  <c r="E11" i="8"/>
  <c r="D11" i="8"/>
  <c r="G10" i="8"/>
  <c r="F10" i="8"/>
  <c r="E10" i="8"/>
  <c r="D10" i="8"/>
  <c r="G8" i="8"/>
  <c r="F8" i="8"/>
  <c r="E8" i="8"/>
  <c r="D8" i="8"/>
  <c r="C15" i="8"/>
  <c r="G14" i="8"/>
  <c r="F14" i="8"/>
  <c r="E14" i="8"/>
  <c r="D14" i="8"/>
  <c r="G13" i="8"/>
  <c r="F13" i="8"/>
  <c r="E13" i="8"/>
  <c r="D13" i="8"/>
  <c r="F15" i="8"/>
  <c r="C9" i="8"/>
  <c r="G7" i="8"/>
  <c r="F7" i="8"/>
  <c r="E7" i="8"/>
  <c r="D7" i="8"/>
  <c r="G15" i="7"/>
  <c r="F15" i="7"/>
  <c r="E15" i="7"/>
  <c r="D15" i="7"/>
  <c r="G14" i="7"/>
  <c r="F14" i="7"/>
  <c r="E14" i="7"/>
  <c r="D14" i="7"/>
  <c r="G12" i="7"/>
  <c r="F12" i="7"/>
  <c r="E12" i="7"/>
  <c r="D12" i="7"/>
  <c r="G7" i="7"/>
  <c r="F7" i="7"/>
  <c r="E7" i="7"/>
  <c r="D7" i="7"/>
  <c r="G8" i="7"/>
  <c r="F8" i="7"/>
  <c r="E8" i="7"/>
  <c r="D8" i="7"/>
  <c r="G10" i="7"/>
  <c r="F10" i="7"/>
  <c r="E10" i="7"/>
  <c r="D10" i="7"/>
  <c r="G6" i="7"/>
  <c r="F6" i="7"/>
  <c r="E6" i="7"/>
  <c r="D6" i="7"/>
  <c r="C18" i="7"/>
  <c r="G17" i="7"/>
  <c r="F17" i="7"/>
  <c r="E17" i="7"/>
  <c r="D17" i="7"/>
  <c r="G16" i="7"/>
  <c r="F16" i="7"/>
  <c r="E16" i="7"/>
  <c r="D16" i="7"/>
  <c r="F18" i="7"/>
  <c r="G13" i="7"/>
  <c r="F13" i="7"/>
  <c r="E13" i="7"/>
  <c r="E18" i="7" s="1"/>
  <c r="D13" i="7"/>
  <c r="C11" i="7"/>
  <c r="G9" i="7"/>
  <c r="F9" i="7"/>
  <c r="E9" i="7"/>
  <c r="D9" i="7"/>
  <c r="F11" i="7"/>
  <c r="G14" i="6"/>
  <c r="F14" i="6"/>
  <c r="E14" i="6"/>
  <c r="D14" i="6"/>
  <c r="G13" i="6"/>
  <c r="F13" i="6"/>
  <c r="E13" i="6"/>
  <c r="D13" i="6"/>
  <c r="G12" i="6"/>
  <c r="F12" i="6"/>
  <c r="E12" i="6"/>
  <c r="D12" i="6"/>
  <c r="G9" i="6"/>
  <c r="F9" i="6"/>
  <c r="E9" i="6"/>
  <c r="D9" i="6"/>
  <c r="G8" i="6"/>
  <c r="F8" i="6"/>
  <c r="E8" i="6"/>
  <c r="D8" i="6"/>
  <c r="G7" i="6"/>
  <c r="F7" i="6"/>
  <c r="E7" i="6"/>
  <c r="D7" i="6"/>
  <c r="G6" i="6"/>
  <c r="F6" i="6"/>
  <c r="E6" i="6"/>
  <c r="D6" i="6"/>
  <c r="C18" i="6"/>
  <c r="G17" i="6"/>
  <c r="F17" i="6"/>
  <c r="E17" i="6"/>
  <c r="D17" i="6"/>
  <c r="G16" i="6"/>
  <c r="F16" i="6"/>
  <c r="F18" i="6" s="1"/>
  <c r="E16" i="6"/>
  <c r="D16" i="6"/>
  <c r="G15" i="6"/>
  <c r="F15" i="6"/>
  <c r="E15" i="6"/>
  <c r="D15" i="6"/>
  <c r="G11" i="6"/>
  <c r="G18" i="6" s="1"/>
  <c r="F11" i="6"/>
  <c r="E11" i="6"/>
  <c r="D11" i="6"/>
  <c r="C10" i="6"/>
  <c r="G14" i="5"/>
  <c r="F14" i="5"/>
  <c r="E14" i="5"/>
  <c r="D14" i="5"/>
  <c r="G13" i="5"/>
  <c r="F13" i="5"/>
  <c r="E13" i="5"/>
  <c r="D13" i="5"/>
  <c r="G12" i="5"/>
  <c r="F12" i="5"/>
  <c r="E12" i="5"/>
  <c r="D12" i="5"/>
  <c r="D17" i="5" s="1"/>
  <c r="G10" i="5"/>
  <c r="F10" i="5"/>
  <c r="E10" i="5"/>
  <c r="D10" i="5"/>
  <c r="G9" i="5"/>
  <c r="F9" i="5"/>
  <c r="E9" i="5"/>
  <c r="D9" i="5"/>
  <c r="G8" i="5"/>
  <c r="F8" i="5"/>
  <c r="E8" i="5"/>
  <c r="D8" i="5"/>
  <c r="G6" i="5"/>
  <c r="F6" i="5"/>
  <c r="E6" i="5"/>
  <c r="D6" i="5"/>
  <c r="E7" i="5"/>
  <c r="G7" i="5"/>
  <c r="F7" i="5"/>
  <c r="D7" i="5"/>
  <c r="C17" i="5"/>
  <c r="G16" i="5"/>
  <c r="F16" i="5"/>
  <c r="E16" i="5"/>
  <c r="D16" i="5"/>
  <c r="G15" i="5"/>
  <c r="F15" i="5"/>
  <c r="E15" i="5"/>
  <c r="D15" i="5"/>
  <c r="F17" i="5"/>
  <c r="C11" i="5"/>
  <c r="G13" i="4"/>
  <c r="G16" i="4" s="1"/>
  <c r="F13" i="4"/>
  <c r="E13" i="4"/>
  <c r="D13" i="4"/>
  <c r="D16" i="4" s="1"/>
  <c r="G12" i="4"/>
  <c r="F12" i="4"/>
  <c r="E12" i="4"/>
  <c r="D12" i="4"/>
  <c r="G11" i="4"/>
  <c r="D11" i="4"/>
  <c r="E11" i="4"/>
  <c r="F11" i="4"/>
  <c r="G8" i="3"/>
  <c r="F8" i="3"/>
  <c r="E8" i="3"/>
  <c r="D8" i="3"/>
  <c r="G9" i="4"/>
  <c r="G7" i="4"/>
  <c r="F7" i="4"/>
  <c r="F10" i="4" s="1"/>
  <c r="E7" i="4"/>
  <c r="D7" i="4"/>
  <c r="G6" i="4"/>
  <c r="F6" i="4"/>
  <c r="E6" i="4"/>
  <c r="D6" i="4"/>
  <c r="C16" i="4"/>
  <c r="G15" i="4"/>
  <c r="F15" i="4"/>
  <c r="E15" i="4"/>
  <c r="D15" i="4"/>
  <c r="G14" i="4"/>
  <c r="F14" i="4"/>
  <c r="E14" i="4"/>
  <c r="D14" i="4"/>
  <c r="F16" i="4"/>
  <c r="E16" i="4"/>
  <c r="C10" i="4"/>
  <c r="C17" i="4" s="1"/>
  <c r="G10" i="4"/>
  <c r="F9" i="4"/>
  <c r="E9" i="4"/>
  <c r="D9" i="4"/>
  <c r="D10" i="4" s="1"/>
  <c r="G8" i="4"/>
  <c r="F8" i="4"/>
  <c r="E8" i="4"/>
  <c r="D8" i="4"/>
  <c r="E10" i="4"/>
  <c r="G13" i="3"/>
  <c r="F13" i="3"/>
  <c r="D13" i="3"/>
  <c r="G11" i="3"/>
  <c r="F11" i="3"/>
  <c r="E11" i="3"/>
  <c r="D11" i="3"/>
  <c r="G7" i="3"/>
  <c r="F7" i="3"/>
  <c r="E7" i="3"/>
  <c r="D7" i="3"/>
  <c r="G6" i="3"/>
  <c r="F6" i="3"/>
  <c r="E6" i="3"/>
  <c r="D6" i="3"/>
  <c r="C16" i="3"/>
  <c r="G15" i="3"/>
  <c r="F15" i="3"/>
  <c r="E15" i="3"/>
  <c r="D15" i="3"/>
  <c r="G14" i="3"/>
  <c r="F14" i="3"/>
  <c r="E14" i="3"/>
  <c r="D14" i="3"/>
  <c r="E13" i="3"/>
  <c r="C10" i="3"/>
  <c r="G9" i="3"/>
  <c r="F9" i="3"/>
  <c r="E9" i="3"/>
  <c r="D9" i="3"/>
  <c r="F10" i="3"/>
  <c r="G14" i="2"/>
  <c r="F14" i="2"/>
  <c r="E14" i="2"/>
  <c r="D14" i="2"/>
  <c r="G12" i="2"/>
  <c r="G18" i="2" s="1"/>
  <c r="F12" i="2"/>
  <c r="E12" i="2"/>
  <c r="E18" i="2" s="1"/>
  <c r="D12" i="2"/>
  <c r="G10" i="2"/>
  <c r="F10" i="2"/>
  <c r="E10" i="2"/>
  <c r="D10" i="2"/>
  <c r="G9" i="2"/>
  <c r="F9" i="2"/>
  <c r="E9" i="2"/>
  <c r="D9" i="2"/>
  <c r="G8" i="2"/>
  <c r="F8" i="2"/>
  <c r="E8" i="2"/>
  <c r="D8" i="2"/>
  <c r="G7" i="2"/>
  <c r="F7" i="2"/>
  <c r="E7" i="2"/>
  <c r="D7" i="2"/>
  <c r="G6" i="2"/>
  <c r="G11" i="2" s="1"/>
  <c r="F6" i="2"/>
  <c r="E6" i="2"/>
  <c r="D6" i="2"/>
  <c r="C18" i="2"/>
  <c r="G17" i="2"/>
  <c r="F17" i="2"/>
  <c r="E17" i="2"/>
  <c r="D17" i="2"/>
  <c r="G16" i="2"/>
  <c r="F16" i="2"/>
  <c r="E16" i="2"/>
  <c r="D16" i="2"/>
  <c r="G15" i="2"/>
  <c r="F15" i="2"/>
  <c r="E15" i="2"/>
  <c r="D15" i="2"/>
  <c r="G13" i="2"/>
  <c r="F13" i="2"/>
  <c r="F18" i="2" s="1"/>
  <c r="E13" i="2"/>
  <c r="D13" i="2"/>
  <c r="C11" i="2"/>
  <c r="E11" i="2"/>
  <c r="E17" i="1"/>
  <c r="E18" i="1" s="1"/>
  <c r="D17" i="1"/>
  <c r="D18" i="1" s="1"/>
  <c r="C17" i="1"/>
  <c r="C18" i="1" s="1"/>
  <c r="G14" i="1"/>
  <c r="F14" i="1"/>
  <c r="E14" i="1"/>
  <c r="D14" i="1"/>
  <c r="G11" i="1"/>
  <c r="F11" i="1"/>
  <c r="E11" i="1"/>
  <c r="D11" i="1"/>
  <c r="G10" i="1"/>
  <c r="F10" i="1"/>
  <c r="E10" i="1"/>
  <c r="D10" i="1"/>
  <c r="G16" i="1"/>
  <c r="F16" i="1"/>
  <c r="E16" i="1"/>
  <c r="D16" i="1"/>
  <c r="G15" i="1"/>
  <c r="F15" i="1"/>
  <c r="E15" i="1"/>
  <c r="D15" i="1"/>
  <c r="G9" i="1"/>
  <c r="F9" i="1"/>
  <c r="E9" i="1"/>
  <c r="D9" i="1"/>
  <c r="C9" i="1"/>
  <c r="G8" i="1"/>
  <c r="F8" i="1"/>
  <c r="E8" i="1"/>
  <c r="D8" i="1"/>
  <c r="G7" i="1"/>
  <c r="F7" i="1"/>
  <c r="E7" i="1"/>
  <c r="D7" i="1"/>
  <c r="G6" i="1"/>
  <c r="F6" i="1"/>
  <c r="E6" i="1"/>
  <c r="D6" i="1"/>
  <c r="E16" i="10" l="1"/>
  <c r="G16" i="10"/>
  <c r="C17" i="10"/>
  <c r="D16" i="10"/>
  <c r="D17" i="10" s="1"/>
  <c r="F10" i="10"/>
  <c r="G10" i="10"/>
  <c r="F16" i="10"/>
  <c r="F17" i="10" s="1"/>
  <c r="E10" i="10"/>
  <c r="D18" i="9"/>
  <c r="G18" i="9"/>
  <c r="G19" i="9" s="1"/>
  <c r="F19" i="9"/>
  <c r="D19" i="9"/>
  <c r="C19" i="9"/>
  <c r="E11" i="9"/>
  <c r="E19" i="9" s="1"/>
  <c r="G15" i="8"/>
  <c r="G16" i="8" s="1"/>
  <c r="D15" i="8"/>
  <c r="E15" i="8"/>
  <c r="D9" i="8"/>
  <c r="D16" i="8" s="1"/>
  <c r="E9" i="8"/>
  <c r="F9" i="8"/>
  <c r="F16" i="8" s="1"/>
  <c r="C16" i="8"/>
  <c r="G18" i="7"/>
  <c r="G19" i="7" s="1"/>
  <c r="C19" i="7"/>
  <c r="D11" i="7"/>
  <c r="G11" i="7"/>
  <c r="E11" i="7"/>
  <c r="D18" i="7"/>
  <c r="F19" i="7"/>
  <c r="E19" i="7"/>
  <c r="D19" i="7"/>
  <c r="E18" i="6"/>
  <c r="C19" i="6"/>
  <c r="D18" i="6"/>
  <c r="G10" i="6"/>
  <c r="G19" i="6" s="1"/>
  <c r="D10" i="6"/>
  <c r="E10" i="6"/>
  <c r="F10" i="6"/>
  <c r="F19" i="6" s="1"/>
  <c r="E17" i="5"/>
  <c r="G17" i="5"/>
  <c r="C18" i="5"/>
  <c r="E11" i="5"/>
  <c r="E18" i="5" s="1"/>
  <c r="F11" i="5"/>
  <c r="F18" i="5" s="1"/>
  <c r="G11" i="5"/>
  <c r="D11" i="5"/>
  <c r="D18" i="5" s="1"/>
  <c r="G17" i="4"/>
  <c r="E17" i="4"/>
  <c r="F17" i="4"/>
  <c r="D17" i="4"/>
  <c r="G10" i="3"/>
  <c r="E10" i="3"/>
  <c r="E16" i="3"/>
  <c r="F16" i="3"/>
  <c r="F17" i="3" s="1"/>
  <c r="G16" i="3"/>
  <c r="D16" i="3"/>
  <c r="D10" i="3"/>
  <c r="C17" i="3"/>
  <c r="C19" i="2"/>
  <c r="D18" i="2"/>
  <c r="G19" i="2"/>
  <c r="E19" i="2"/>
  <c r="D11" i="2"/>
  <c r="F11" i="2"/>
  <c r="F19" i="2" s="1"/>
  <c r="G17" i="10" l="1"/>
  <c r="E16" i="8"/>
  <c r="E17" i="3"/>
  <c r="E17" i="10"/>
  <c r="E19" i="6"/>
  <c r="D19" i="6"/>
  <c r="G18" i="5"/>
  <c r="G17" i="3"/>
  <c r="D17" i="3"/>
  <c r="D19" i="2"/>
</calcChain>
</file>

<file path=xl/sharedStrings.xml><?xml version="1.0" encoding="utf-8"?>
<sst xmlns="http://schemas.openxmlformats.org/spreadsheetml/2006/main" count="350" uniqueCount="93">
  <si>
    <t>Прием пищи</t>
  </si>
  <si>
    <t>Наименование блюда</t>
  </si>
  <si>
    <t>Масса, г</t>
  </si>
  <si>
    <t>Белки, г</t>
  </si>
  <si>
    <t>Жиры, г</t>
  </si>
  <si>
    <t>Углеводы, г</t>
  </si>
  <si>
    <t>Энергетическая ценность, ккал</t>
  </si>
  <si>
    <t>№ рецептуры</t>
  </si>
  <si>
    <t>Неделя Первая</t>
  </si>
  <si>
    <t>День первый</t>
  </si>
  <si>
    <t>Каша вязкая геркулесовая
с маслом</t>
  </si>
  <si>
    <t>Сок фруктовый</t>
  </si>
  <si>
    <t>Сдоба «Выборская»</t>
  </si>
  <si>
    <t>Итого за завтрак:</t>
  </si>
  <si>
    <t>завтрак</t>
  </si>
  <si>
    <t>Суп картофельный с горохом</t>
  </si>
  <si>
    <t>Котлеты (биточки) мясные</t>
  </si>
  <si>
    <t>Масло сливочное</t>
  </si>
  <si>
    <t>Чай с сахаром</t>
  </si>
  <si>
    <t>Хлеб пеклеванный</t>
  </si>
  <si>
    <t>Батон «Нарезной»</t>
  </si>
  <si>
    <t>Рецепт № 658</t>
  </si>
  <si>
    <t>-</t>
  </si>
  <si>
    <t>ПО "Духовщинахлеб"</t>
  </si>
  <si>
    <t>Рецепт № 118</t>
  </si>
  <si>
    <t>Рецепт № 1009</t>
  </si>
  <si>
    <t>Рецепт № 221</t>
  </si>
  <si>
    <t>Итого за обед:</t>
  </si>
  <si>
    <t>Итого за день:</t>
  </si>
  <si>
    <t>обед</t>
  </si>
  <si>
    <t>День второй</t>
  </si>
  <si>
    <t>Каша гречневая вязкая (гарнирная)</t>
  </si>
  <si>
    <t>Рецепт № 746</t>
  </si>
  <si>
    <t>Котлета "Здоровье"</t>
  </si>
  <si>
    <t>Рецепт № 163</t>
  </si>
  <si>
    <t>Огурец свежий порционный</t>
  </si>
  <si>
    <t>Рецепт № 12</t>
  </si>
  <si>
    <t>Суп с макаронными изделиями с мясом</t>
  </si>
  <si>
    <t>Рецепт № 143</t>
  </si>
  <si>
    <t>Пюре картофельное (гарнирное)</t>
  </si>
  <si>
    <t>Рецепт № 759</t>
  </si>
  <si>
    <t>День третий</t>
  </si>
  <si>
    <t>Котлета рыбная "Фантазия"</t>
  </si>
  <si>
    <t>Борщ из свежей капусты с картофелем и сметаной</t>
  </si>
  <si>
    <t>Плов из свинины</t>
  </si>
  <si>
    <t>Рецепт № 642</t>
  </si>
  <si>
    <t>Чай с сахаром и лимоном</t>
  </si>
  <si>
    <t>Рецепт № 434</t>
  </si>
  <si>
    <t>Каша молочная (вязкая) рисовая с маслом сливочным</t>
  </si>
  <si>
    <t>Рецепт № 411</t>
  </si>
  <si>
    <t>Сыр порционный</t>
  </si>
  <si>
    <t>Рецепт № 80</t>
  </si>
  <si>
    <t>Булка "Городская"</t>
  </si>
  <si>
    <t>Кофейный напиток с молоком</t>
  </si>
  <si>
    <t>Щи из свежей капусты с картофелем и сметаной</t>
  </si>
  <si>
    <t>Рецепт № 197</t>
  </si>
  <si>
    <t>Жаркое по-домашнему</t>
  </si>
  <si>
    <t>Рецепт № 631</t>
  </si>
  <si>
    <t>Компот из изюма</t>
  </si>
  <si>
    <t>Рецепт № 932</t>
  </si>
  <si>
    <t>День четвертый</t>
  </si>
  <si>
    <t>День пятый</t>
  </si>
  <si>
    <t>Пюре гороховое с маслом</t>
  </si>
  <si>
    <t>Рецепт № б/н</t>
  </si>
  <si>
    <t>Компот из свежих яблок</t>
  </si>
  <si>
    <t>Рецепт № 394</t>
  </si>
  <si>
    <t>Пряник</t>
  </si>
  <si>
    <t>Рецепт № 12,17</t>
  </si>
  <si>
    <t>Суп картофельный с мясными фрикадельками</t>
  </si>
  <si>
    <t>Рецепт № 123</t>
  </si>
  <si>
    <t>Неделя Вторая</t>
  </si>
  <si>
    <t>Макароны отварные с сыром и маслом сливочным</t>
  </si>
  <si>
    <t>Рецепт № 444</t>
  </si>
  <si>
    <t>Фрукт</t>
  </si>
  <si>
    <t>Тефтели 2 вариант</t>
  </si>
  <si>
    <t>Рецепт № 669</t>
  </si>
  <si>
    <t>Соус красный основной</t>
  </si>
  <si>
    <t>Рецепт № 824</t>
  </si>
  <si>
    <t>Суп молочный с макаронными изделиями</t>
  </si>
  <si>
    <t>Рецепт № 132</t>
  </si>
  <si>
    <t>Гуляш из свинины с соусом</t>
  </si>
  <si>
    <t>Макаронные изделия отварные (гарнирные)</t>
  </si>
  <si>
    <t>Рецепт № 753</t>
  </si>
  <si>
    <t>Салат из белокочанной капусты свежей</t>
  </si>
  <si>
    <t>Каша молочная (вязкая) пшенная с маслом сливочным</t>
  </si>
  <si>
    <t>Рецепт № 323</t>
  </si>
  <si>
    <t>Йогурт</t>
  </si>
  <si>
    <t>Суп картофельный</t>
  </si>
  <si>
    <t>Рецепт № 215</t>
  </si>
  <si>
    <t>Рис отварной</t>
  </si>
  <si>
    <t>Рецепт № 632</t>
  </si>
  <si>
    <t xml:space="preserve">Муниципальное бюджетное общеобразовательное учреждение
Озерненская средняя школа
(МБОУ Озерненская СШ)
</t>
  </si>
  <si>
    <t xml:space="preserve">ПРИМЕРНОЕ ДВУХНЕДЕЛЬНОЕ МЕНЮ
ВОЗРАСТНАЯ КАТЕГОРИЯ: 12 лет и старше (ОВЗ, дети-инвалиды)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</si>
</sst>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2" fillId="0" borderId="5" xfId="0" applyFont="1" applyBorder="1"/>
    <xf numFmtId="0" fontId="2" fillId="0" borderId="5" xfId="0" applyFont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20"/>
  <sheetViews>
    <sheetView showGridLines="0" tabSelected="1" workbookViewId="0">
      <selection activeCell="F15" sqref="F15"/>
    </sheetView>
  </sheetViews>
  <sheetFormatPr defaultRowHeight="15" x14ac:dyDescent="0.25"/>
  <cols>
    <col min="1" max="1" width="18.28515625" customWidth="1"/>
    <col min="2" max="2" width="31.14062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12" x14ac:dyDescent="0.25">
      <c r="I2" s="2"/>
      <c r="J2" s="2"/>
      <c r="K2" s="2"/>
      <c r="L2" s="2"/>
    </row>
    <row r="3" spans="1:12" ht="15.75" x14ac:dyDescent="0.25">
      <c r="A3" s="28"/>
      <c r="B3" s="28"/>
      <c r="C3" s="28"/>
      <c r="D3" s="28"/>
      <c r="E3" s="28"/>
      <c r="F3" s="28"/>
      <c r="G3" s="28"/>
      <c r="H3" s="28"/>
      <c r="I3" s="2"/>
      <c r="J3" s="2"/>
      <c r="K3" s="2"/>
      <c r="L3" s="2"/>
    </row>
    <row r="4" spans="1:12" x14ac:dyDescent="0.25">
      <c r="A4" s="29"/>
      <c r="B4" s="29"/>
      <c r="C4" s="29"/>
      <c r="D4" s="29"/>
      <c r="E4" s="29"/>
      <c r="F4" s="29"/>
      <c r="G4" s="29"/>
      <c r="H4" s="29"/>
      <c r="I4" s="2"/>
      <c r="J4" s="2"/>
      <c r="K4" s="2"/>
      <c r="L4" s="2"/>
    </row>
    <row r="5" spans="1:12" ht="31.5" customHeight="1" x14ac:dyDescent="0.25">
      <c r="A5" s="43" t="s">
        <v>91</v>
      </c>
      <c r="B5" s="44"/>
      <c r="C5" s="44"/>
      <c r="D5" s="44"/>
      <c r="E5" s="44"/>
      <c r="F5" s="44"/>
      <c r="G5" s="44"/>
      <c r="H5" s="44"/>
      <c r="I5" s="2"/>
      <c r="J5" s="2"/>
      <c r="K5" s="2"/>
      <c r="L5" s="2"/>
    </row>
    <row r="6" spans="1:12" ht="31.5" customHeight="1" x14ac:dyDescent="0.25">
      <c r="A6" s="40"/>
      <c r="B6" s="41"/>
      <c r="C6" s="41"/>
      <c r="D6" s="41"/>
      <c r="E6" s="41"/>
      <c r="F6" s="41"/>
      <c r="G6" s="41"/>
      <c r="H6" s="41"/>
      <c r="I6" s="2"/>
      <c r="J6" s="2"/>
      <c r="K6" s="2"/>
      <c r="L6" s="2"/>
    </row>
    <row r="7" spans="1:12" ht="31.5" customHeight="1" x14ac:dyDescent="0.25">
      <c r="A7" s="42" t="s">
        <v>92</v>
      </c>
      <c r="B7" s="30"/>
      <c r="C7" s="30"/>
      <c r="D7" s="30"/>
      <c r="E7" s="30"/>
      <c r="F7" s="30"/>
      <c r="G7" s="30"/>
      <c r="H7" s="30"/>
      <c r="I7" s="2"/>
      <c r="J7" s="2"/>
      <c r="K7" s="2"/>
      <c r="L7" s="2"/>
    </row>
    <row r="8" spans="1:12" ht="31.5" customHeight="1" x14ac:dyDescent="0.25">
      <c r="A8" s="30"/>
      <c r="B8" s="30"/>
      <c r="C8" s="30"/>
      <c r="D8" s="30"/>
      <c r="E8" s="30"/>
      <c r="F8" s="30"/>
      <c r="G8" s="30"/>
      <c r="H8" s="30"/>
    </row>
    <row r="9" spans="1:12" ht="31.5" customHeight="1" x14ac:dyDescent="0.25">
      <c r="A9" s="30"/>
      <c r="B9" s="30"/>
      <c r="C9" s="30"/>
      <c r="D9" s="30"/>
      <c r="E9" s="30"/>
      <c r="F9" s="30"/>
      <c r="G9" s="30"/>
      <c r="H9" s="30"/>
    </row>
    <row r="10" spans="1:12" ht="31.5" customHeight="1" x14ac:dyDescent="0.25">
      <c r="A10" s="35"/>
      <c r="B10" s="35"/>
      <c r="C10" s="36"/>
      <c r="D10" s="36"/>
      <c r="E10" s="36"/>
      <c r="F10" s="36"/>
      <c r="G10" s="36"/>
      <c r="H10" s="37"/>
    </row>
    <row r="11" spans="1:12" ht="31.5" customHeight="1" x14ac:dyDescent="0.25">
      <c r="A11" s="30"/>
      <c r="B11" s="31"/>
      <c r="C11" s="32"/>
      <c r="D11" s="33"/>
      <c r="E11" s="33"/>
      <c r="F11" s="33"/>
      <c r="G11" s="33"/>
      <c r="H11" s="32"/>
    </row>
    <row r="12" spans="1:12" ht="31.5" customHeight="1" x14ac:dyDescent="0.25">
      <c r="A12" s="30"/>
      <c r="B12" s="34"/>
      <c r="C12" s="32"/>
      <c r="D12" s="33"/>
      <c r="E12" s="33"/>
      <c r="F12" s="33"/>
      <c r="G12" s="33"/>
      <c r="H12" s="32"/>
    </row>
    <row r="13" spans="1:12" ht="31.5" customHeight="1" x14ac:dyDescent="0.25">
      <c r="A13" s="30"/>
      <c r="B13" s="38"/>
      <c r="C13" s="32"/>
      <c r="D13" s="33"/>
      <c r="E13" s="33"/>
      <c r="F13" s="33"/>
      <c r="G13" s="33"/>
      <c r="H13" s="32"/>
    </row>
    <row r="14" spans="1:12" ht="31.5" customHeight="1" x14ac:dyDescent="0.25">
      <c r="A14" s="30"/>
      <c r="B14" s="34"/>
      <c r="C14" s="32"/>
      <c r="D14" s="33"/>
      <c r="E14" s="33"/>
      <c r="F14" s="33"/>
      <c r="G14" s="33"/>
      <c r="H14" s="32"/>
    </row>
    <row r="15" spans="1:12" ht="31.5" customHeight="1" x14ac:dyDescent="0.25">
      <c r="A15" s="30"/>
      <c r="B15" s="34"/>
      <c r="C15" s="32"/>
      <c r="D15" s="33"/>
      <c r="E15" s="33"/>
      <c r="F15" s="33"/>
      <c r="G15" s="33"/>
      <c r="H15" s="32"/>
    </row>
    <row r="16" spans="1:12" ht="31.5" customHeight="1" x14ac:dyDescent="0.25">
      <c r="A16" s="30"/>
      <c r="B16" s="34"/>
      <c r="C16" s="32"/>
      <c r="D16" s="33"/>
      <c r="E16" s="33"/>
      <c r="F16" s="33"/>
      <c r="G16" s="33"/>
      <c r="H16" s="32"/>
    </row>
    <row r="17" spans="1:8" ht="15.75" x14ac:dyDescent="0.25">
      <c r="A17" s="30"/>
      <c r="B17" s="34"/>
      <c r="C17" s="32"/>
      <c r="D17" s="33"/>
      <c r="E17" s="33"/>
      <c r="F17" s="33"/>
      <c r="G17" s="33"/>
      <c r="H17" s="32"/>
    </row>
    <row r="18" spans="1:8" ht="31.5" customHeight="1" x14ac:dyDescent="0.25">
      <c r="A18" s="35"/>
      <c r="B18" s="35"/>
      <c r="C18" s="36"/>
      <c r="D18" s="36"/>
      <c r="E18" s="36"/>
      <c r="F18" s="36"/>
      <c r="G18" s="36"/>
      <c r="H18" s="39"/>
    </row>
    <row r="19" spans="1:8" ht="31.5" customHeight="1" x14ac:dyDescent="0.25">
      <c r="A19" s="35"/>
      <c r="B19" s="35"/>
      <c r="C19" s="36"/>
      <c r="D19" s="36"/>
      <c r="E19" s="36"/>
      <c r="F19" s="36"/>
      <c r="G19" s="36"/>
      <c r="H19" s="39"/>
    </row>
    <row r="20" spans="1:8" ht="15.75" x14ac:dyDescent="0.25">
      <c r="A20" s="1"/>
      <c r="B20" s="1"/>
      <c r="C20" s="1"/>
      <c r="D20" s="1"/>
      <c r="E20" s="1"/>
      <c r="F20" s="1"/>
      <c r="G20" s="1"/>
      <c r="H20" s="1"/>
    </row>
  </sheetData>
  <sheetProtection password="CC39" sheet="1" objects="1" scenarios="1"/>
  <mergeCells count="7">
    <mergeCell ref="I2:L7"/>
    <mergeCell ref="A10:B10"/>
    <mergeCell ref="A11:A17"/>
    <mergeCell ref="A18:B18"/>
    <mergeCell ref="A19:B19"/>
    <mergeCell ref="A5:H5"/>
    <mergeCell ref="A7:H9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showGridLines="0" workbookViewId="0">
      <selection activeCell="H19" sqref="A3:H19"/>
    </sheetView>
  </sheetViews>
  <sheetFormatPr defaultRowHeight="15" x14ac:dyDescent="0.25"/>
  <cols>
    <col min="1" max="1" width="18.28515625" customWidth="1"/>
    <col min="2" max="2" width="32.710937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9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</row>
    <row r="4" spans="1:8" x14ac:dyDescent="0.25">
      <c r="A4" s="14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5">
        <v>8</v>
      </c>
    </row>
    <row r="5" spans="1:8" ht="31.5" customHeight="1" x14ac:dyDescent="0.25">
      <c r="A5" s="16" t="s">
        <v>70</v>
      </c>
      <c r="B5" s="12" t="s">
        <v>60</v>
      </c>
      <c r="C5" s="13"/>
      <c r="D5" s="13"/>
      <c r="E5" s="13"/>
      <c r="F5" s="13"/>
      <c r="G5" s="13"/>
      <c r="H5" s="17"/>
    </row>
    <row r="6" spans="1:8" ht="31.5" customHeight="1" x14ac:dyDescent="0.25">
      <c r="A6" s="18" t="s">
        <v>14</v>
      </c>
      <c r="B6" s="6" t="s">
        <v>16</v>
      </c>
      <c r="C6" s="4">
        <v>100</v>
      </c>
      <c r="D6" s="5">
        <f>$C6*7.85/100</f>
        <v>7.85</v>
      </c>
      <c r="E6" s="5">
        <f>$C6*6.51/100</f>
        <v>6.51</v>
      </c>
      <c r="F6" s="5">
        <f>$C6*7.89/100</f>
        <v>7.89</v>
      </c>
      <c r="G6" s="5">
        <f>$C6*123/100</f>
        <v>123</v>
      </c>
      <c r="H6" s="19" t="s">
        <v>26</v>
      </c>
    </row>
    <row r="7" spans="1:8" ht="31.5" customHeight="1" x14ac:dyDescent="0.25">
      <c r="A7" s="18"/>
      <c r="B7" s="6" t="s">
        <v>39</v>
      </c>
      <c r="C7" s="4">
        <v>180</v>
      </c>
      <c r="D7" s="5">
        <f>$C7*2.16/100</f>
        <v>3.8879999999999999</v>
      </c>
      <c r="E7" s="5">
        <f>$C7*3.73/100</f>
        <v>6.7139999999999995</v>
      </c>
      <c r="F7" s="5">
        <f>$C7*14.7/100</f>
        <v>26.46</v>
      </c>
      <c r="G7" s="5">
        <f>$C7*104/100</f>
        <v>187.2</v>
      </c>
      <c r="H7" s="19" t="s">
        <v>40</v>
      </c>
    </row>
    <row r="8" spans="1:8" ht="31.5" customHeight="1" x14ac:dyDescent="0.25">
      <c r="A8" s="18"/>
      <c r="B8" s="3" t="s">
        <v>83</v>
      </c>
      <c r="C8" s="4">
        <v>100</v>
      </c>
      <c r="D8" s="5">
        <f>$C8*0.92/100</f>
        <v>0.92</v>
      </c>
      <c r="E8" s="5">
        <f>$C8*3.04/100</f>
        <v>3.04</v>
      </c>
      <c r="F8" s="5">
        <f>$C8*5.42/100</f>
        <v>5.42</v>
      </c>
      <c r="G8" s="5">
        <f>$C8*52/100</f>
        <v>52</v>
      </c>
      <c r="H8" s="19" t="s">
        <v>40</v>
      </c>
    </row>
    <row r="9" spans="1:8" ht="31.5" customHeight="1" x14ac:dyDescent="0.25">
      <c r="A9" s="18"/>
      <c r="B9" s="6" t="s">
        <v>19</v>
      </c>
      <c r="C9" s="4">
        <v>40</v>
      </c>
      <c r="D9" s="5">
        <f>$C9*5.4/100</f>
        <v>2.16</v>
      </c>
      <c r="E9" s="5">
        <f>$C9*1/100</f>
        <v>0.4</v>
      </c>
      <c r="F9" s="5">
        <f>$C9*44.6/100</f>
        <v>17.84</v>
      </c>
      <c r="G9" s="5">
        <f>$C9*212/100</f>
        <v>84.8</v>
      </c>
      <c r="H9" s="19" t="s">
        <v>23</v>
      </c>
    </row>
    <row r="10" spans="1:8" ht="31.5" customHeight="1" x14ac:dyDescent="0.25">
      <c r="A10" s="18"/>
      <c r="B10" s="6" t="s">
        <v>58</v>
      </c>
      <c r="C10" s="4">
        <v>200</v>
      </c>
      <c r="D10" s="5">
        <f>$C10*0.41/100</f>
        <v>0.82</v>
      </c>
      <c r="E10" s="5">
        <f>$C10*0/100</f>
        <v>0</v>
      </c>
      <c r="F10" s="5">
        <f>$C10*25.16/100</f>
        <v>50.32</v>
      </c>
      <c r="G10" s="5">
        <f>$C10*98/100</f>
        <v>196</v>
      </c>
      <c r="H10" s="19" t="s">
        <v>59</v>
      </c>
    </row>
    <row r="11" spans="1:8" ht="31.5" customHeight="1" x14ac:dyDescent="0.25">
      <c r="A11" s="20" t="s">
        <v>13</v>
      </c>
      <c r="B11" s="7"/>
      <c r="C11" s="8">
        <f>SUM(C6:C10)</f>
        <v>620</v>
      </c>
      <c r="D11" s="8">
        <f>SUM(D6:D10)</f>
        <v>15.638</v>
      </c>
      <c r="E11" s="8">
        <f>SUM(E6:E10)</f>
        <v>16.663999999999998</v>
      </c>
      <c r="F11" s="8">
        <f>SUM(F6:F10)</f>
        <v>107.93</v>
      </c>
      <c r="G11" s="8">
        <f>SUM(G6:G10)</f>
        <v>643</v>
      </c>
      <c r="H11" s="21"/>
    </row>
    <row r="12" spans="1:8" ht="31.5" customHeight="1" x14ac:dyDescent="0.25">
      <c r="A12" s="18" t="s">
        <v>29</v>
      </c>
      <c r="B12" s="3" t="s">
        <v>54</v>
      </c>
      <c r="C12" s="4">
        <v>255</v>
      </c>
      <c r="D12" s="5">
        <f>$C12*1.97/100</f>
        <v>5.0234999999999994</v>
      </c>
      <c r="E12" s="5">
        <f>$C12*5.32/100</f>
        <v>13.566000000000001</v>
      </c>
      <c r="F12" s="5">
        <f>$C12*9.33/100</f>
        <v>23.791499999999999</v>
      </c>
      <c r="G12" s="5">
        <f>$C12*94/100</f>
        <v>239.7</v>
      </c>
      <c r="H12" s="19" t="s">
        <v>55</v>
      </c>
    </row>
    <row r="13" spans="1:8" ht="31.5" customHeight="1" x14ac:dyDescent="0.25">
      <c r="A13" s="18"/>
      <c r="B13" s="3" t="s">
        <v>33</v>
      </c>
      <c r="C13" s="4">
        <v>100</v>
      </c>
      <c r="D13" s="5">
        <f>$C$7*7.98/100</f>
        <v>14.364000000000001</v>
      </c>
      <c r="E13" s="5">
        <f>$C$7*6.93/100</f>
        <v>12.473999999999998</v>
      </c>
      <c r="F13" s="5">
        <f>$C$7*4.47/100</f>
        <v>8.0459999999999994</v>
      </c>
      <c r="G13" s="5">
        <f>$C$7*113/100</f>
        <v>203.4</v>
      </c>
      <c r="H13" s="19" t="s">
        <v>34</v>
      </c>
    </row>
    <row r="14" spans="1:8" ht="31.5" customHeight="1" x14ac:dyDescent="0.25">
      <c r="A14" s="18"/>
      <c r="B14" s="6" t="s">
        <v>39</v>
      </c>
      <c r="C14" s="4">
        <v>180</v>
      </c>
      <c r="D14" s="5">
        <f>$C14*2.16/100</f>
        <v>3.8879999999999999</v>
      </c>
      <c r="E14" s="5">
        <f>$C14*3.73/100</f>
        <v>6.7139999999999995</v>
      </c>
      <c r="F14" s="5">
        <f>$C14*14.7/100</f>
        <v>26.46</v>
      </c>
      <c r="G14" s="5">
        <f>$C14*104/100</f>
        <v>187.2</v>
      </c>
      <c r="H14" s="19" t="s">
        <v>40</v>
      </c>
    </row>
    <row r="15" spans="1:8" ht="31.5" customHeight="1" x14ac:dyDescent="0.25">
      <c r="A15" s="18"/>
      <c r="B15" s="6" t="s">
        <v>46</v>
      </c>
      <c r="C15" s="4">
        <v>222</v>
      </c>
      <c r="D15" s="5">
        <f>$C15*0.26/100</f>
        <v>0.57719999999999994</v>
      </c>
      <c r="E15" s="5">
        <f>$C15*0.05/100</f>
        <v>0.11100000000000002</v>
      </c>
      <c r="F15" s="5">
        <f>$C15*15.22/100</f>
        <v>33.788400000000003</v>
      </c>
      <c r="G15" s="5">
        <f>$C15*59/100</f>
        <v>130.97999999999999</v>
      </c>
      <c r="H15" s="19" t="s">
        <v>47</v>
      </c>
    </row>
    <row r="16" spans="1:8" ht="31.5" customHeight="1" x14ac:dyDescent="0.25">
      <c r="A16" s="18"/>
      <c r="B16" s="6" t="s">
        <v>20</v>
      </c>
      <c r="C16" s="4">
        <v>30</v>
      </c>
      <c r="D16" s="5">
        <f>$C16*7.5/100</f>
        <v>2.25</v>
      </c>
      <c r="E16" s="5">
        <f>$C16*2.9/100</f>
        <v>0.87</v>
      </c>
      <c r="F16" s="5">
        <f>$C16*50.7/100</f>
        <v>15.21</v>
      </c>
      <c r="G16" s="5">
        <f>$C16*264/100</f>
        <v>79.2</v>
      </c>
      <c r="H16" s="19" t="s">
        <v>23</v>
      </c>
    </row>
    <row r="17" spans="1:8" ht="31.5" customHeight="1" x14ac:dyDescent="0.25">
      <c r="A17" s="18"/>
      <c r="B17" s="6" t="s">
        <v>19</v>
      </c>
      <c r="C17" s="4">
        <v>40</v>
      </c>
      <c r="D17" s="5">
        <f>$C17*5.4/100</f>
        <v>2.16</v>
      </c>
      <c r="E17" s="5">
        <f>$C17*1/100</f>
        <v>0.4</v>
      </c>
      <c r="F17" s="5">
        <f>$C17*44.6/100</f>
        <v>17.84</v>
      </c>
      <c r="G17" s="5">
        <f>$C17*212/100</f>
        <v>84.8</v>
      </c>
      <c r="H17" s="19" t="s">
        <v>23</v>
      </c>
    </row>
    <row r="18" spans="1:8" ht="31.5" customHeight="1" x14ac:dyDescent="0.25">
      <c r="A18" s="20" t="s">
        <v>27</v>
      </c>
      <c r="B18" s="7"/>
      <c r="C18" s="8">
        <f>SUM(C12:C17)</f>
        <v>827</v>
      </c>
      <c r="D18" s="8">
        <f>SUM(D12:D17)</f>
        <v>28.262700000000002</v>
      </c>
      <c r="E18" s="8">
        <f>SUM(E12:E17)</f>
        <v>34.134999999999991</v>
      </c>
      <c r="F18" s="8">
        <f>SUM(F12:F17)</f>
        <v>125.13590000000002</v>
      </c>
      <c r="G18" s="8">
        <f>SUM(G12:G17)</f>
        <v>925.28</v>
      </c>
      <c r="H18" s="22"/>
    </row>
    <row r="19" spans="1:8" ht="31.5" customHeight="1" thickBot="1" x14ac:dyDescent="0.3">
      <c r="A19" s="23" t="s">
        <v>28</v>
      </c>
      <c r="B19" s="24"/>
      <c r="C19" s="25">
        <f>C11+C18</f>
        <v>1447</v>
      </c>
      <c r="D19" s="25">
        <f>D11+D18</f>
        <v>43.900700000000001</v>
      </c>
      <c r="E19" s="25">
        <f>E11+E18</f>
        <v>50.798999999999992</v>
      </c>
      <c r="F19" s="25">
        <f>F11+F18</f>
        <v>233.06590000000003</v>
      </c>
      <c r="G19" s="25">
        <f>G11+G18</f>
        <v>1568.28</v>
      </c>
      <c r="H19" s="26"/>
    </row>
    <row r="20" spans="1:8" ht="15.75" x14ac:dyDescent="0.25">
      <c r="A20" s="1"/>
      <c r="B20" s="1"/>
      <c r="C20" s="1"/>
      <c r="D20" s="1"/>
      <c r="E20" s="1"/>
      <c r="F20" s="1"/>
      <c r="G20" s="1"/>
      <c r="H20" s="1"/>
    </row>
  </sheetData>
  <sheetProtection password="CC39" sheet="1" objects="1" scenarios="1"/>
  <mergeCells count="6">
    <mergeCell ref="C5:H5"/>
    <mergeCell ref="A6:A10"/>
    <mergeCell ref="A11:B11"/>
    <mergeCell ref="A12:A17"/>
    <mergeCell ref="A18:B18"/>
    <mergeCell ref="A19:B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showGridLines="0" workbookViewId="0">
      <selection activeCell="M11" sqref="M11"/>
    </sheetView>
  </sheetViews>
  <sheetFormatPr defaultRowHeight="15" x14ac:dyDescent="0.25"/>
  <cols>
    <col min="1" max="1" width="18.28515625" customWidth="1"/>
    <col min="2" max="2" width="32.710937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9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</row>
    <row r="4" spans="1:8" x14ac:dyDescent="0.25">
      <c r="A4" s="14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5">
        <v>8</v>
      </c>
    </row>
    <row r="5" spans="1:8" ht="31.5" customHeight="1" x14ac:dyDescent="0.25">
      <c r="A5" s="16" t="s">
        <v>70</v>
      </c>
      <c r="B5" s="12" t="s">
        <v>61</v>
      </c>
      <c r="C5" s="13"/>
      <c r="D5" s="13"/>
      <c r="E5" s="13"/>
      <c r="F5" s="13"/>
      <c r="G5" s="13"/>
      <c r="H5" s="17"/>
    </row>
    <row r="6" spans="1:8" ht="31.5" customHeight="1" x14ac:dyDescent="0.25">
      <c r="A6" s="18" t="s">
        <v>14</v>
      </c>
      <c r="B6" s="3" t="s">
        <v>84</v>
      </c>
      <c r="C6" s="4">
        <v>210</v>
      </c>
      <c r="D6" s="5">
        <f>$C6*4.09/100</f>
        <v>8.5890000000000004</v>
      </c>
      <c r="E6" s="5">
        <f>$C6*6.4/100</f>
        <v>13.44</v>
      </c>
      <c r="F6" s="5">
        <f>$C6*21.23/100</f>
        <v>44.582999999999998</v>
      </c>
      <c r="G6" s="5">
        <f>$C6*159/100</f>
        <v>333.9</v>
      </c>
      <c r="H6" s="19" t="s">
        <v>85</v>
      </c>
    </row>
    <row r="7" spans="1:8" ht="31.5" customHeight="1" x14ac:dyDescent="0.25">
      <c r="A7" s="18"/>
      <c r="B7" s="6" t="s">
        <v>46</v>
      </c>
      <c r="C7" s="4">
        <v>222</v>
      </c>
      <c r="D7" s="5">
        <f>$C7*0.26/100</f>
        <v>0.57719999999999994</v>
      </c>
      <c r="E7" s="5">
        <f>$C7*0.05/100</f>
        <v>0.11100000000000002</v>
      </c>
      <c r="F7" s="5">
        <f>$C7*15.22/100</f>
        <v>33.788400000000003</v>
      </c>
      <c r="G7" s="5">
        <f>$C7*59/100</f>
        <v>130.97999999999999</v>
      </c>
      <c r="H7" s="19" t="s">
        <v>47</v>
      </c>
    </row>
    <row r="8" spans="1:8" ht="31.5" customHeight="1" x14ac:dyDescent="0.25">
      <c r="A8" s="18"/>
      <c r="B8" s="6" t="s">
        <v>20</v>
      </c>
      <c r="C8" s="4">
        <v>20</v>
      </c>
      <c r="D8" s="5">
        <f>$C8*7.5/100</f>
        <v>1.5</v>
      </c>
      <c r="E8" s="5">
        <f>$C8*2.9/100</f>
        <v>0.57999999999999996</v>
      </c>
      <c r="F8" s="5">
        <f>$C8*50.7/100</f>
        <v>10.14</v>
      </c>
      <c r="G8" s="5">
        <f>$C8*264/100</f>
        <v>52.8</v>
      </c>
      <c r="H8" s="19" t="s">
        <v>23</v>
      </c>
    </row>
    <row r="9" spans="1:8" ht="31.5" customHeight="1" x14ac:dyDescent="0.25">
      <c r="A9" s="18"/>
      <c r="B9" s="6" t="s">
        <v>86</v>
      </c>
      <c r="C9" s="4">
        <v>95</v>
      </c>
      <c r="D9" s="5">
        <f>$C9*2.4/100</f>
        <v>2.2799999999999998</v>
      </c>
      <c r="E9" s="5">
        <f>$C9*1.14/100</f>
        <v>1.083</v>
      </c>
      <c r="F9" s="5">
        <f>$C9*15.2/100</f>
        <v>14.44</v>
      </c>
      <c r="G9" s="5">
        <f>$C9*80.75/100</f>
        <v>76.712500000000006</v>
      </c>
      <c r="H9" s="19" t="s">
        <v>22</v>
      </c>
    </row>
    <row r="10" spans="1:8" ht="31.5" customHeight="1" x14ac:dyDescent="0.25">
      <c r="A10" s="20" t="s">
        <v>13</v>
      </c>
      <c r="B10" s="7"/>
      <c r="C10" s="8">
        <f>SUM(C6:C9)</f>
        <v>547</v>
      </c>
      <c r="D10" s="8">
        <f>SUM(D6:D9)</f>
        <v>12.946199999999999</v>
      </c>
      <c r="E10" s="8">
        <f>SUM(E6:E9)</f>
        <v>15.214</v>
      </c>
      <c r="F10" s="8">
        <f>SUM(F6:F9)</f>
        <v>102.95139999999999</v>
      </c>
      <c r="G10" s="8">
        <f>SUM(G6:G9)</f>
        <v>594.39249999999993</v>
      </c>
      <c r="H10" s="21"/>
    </row>
    <row r="11" spans="1:8" ht="31.5" customHeight="1" x14ac:dyDescent="0.25">
      <c r="A11" s="18" t="s">
        <v>29</v>
      </c>
      <c r="B11" s="3" t="s">
        <v>87</v>
      </c>
      <c r="C11" s="4">
        <v>250</v>
      </c>
      <c r="D11" s="5">
        <f>$C11*2.54/100</f>
        <v>6.35</v>
      </c>
      <c r="E11" s="5">
        <f>$C11*4.58/100</f>
        <v>11.45</v>
      </c>
      <c r="F11" s="5">
        <f>$C11*20/100</f>
        <v>50</v>
      </c>
      <c r="G11" s="5">
        <f>$C11*135/100</f>
        <v>337.5</v>
      </c>
      <c r="H11" s="19" t="s">
        <v>88</v>
      </c>
    </row>
    <row r="12" spans="1:8" ht="31.5" customHeight="1" x14ac:dyDescent="0.25">
      <c r="A12" s="18"/>
      <c r="B12" s="3" t="s">
        <v>42</v>
      </c>
      <c r="C12" s="4">
        <v>100</v>
      </c>
      <c r="D12" s="5">
        <f>$C$7*16.79/100</f>
        <v>37.273799999999994</v>
      </c>
      <c r="E12" s="5">
        <f>$C$7*10.93/100</f>
        <v>24.264600000000002</v>
      </c>
      <c r="F12" s="5">
        <f>$C$7*5.64/100</f>
        <v>12.520799999999999</v>
      </c>
      <c r="G12" s="5">
        <f>$C$7*188/100</f>
        <v>417.36</v>
      </c>
      <c r="H12" s="19" t="s">
        <v>34</v>
      </c>
    </row>
    <row r="13" spans="1:8" ht="31.5" customHeight="1" x14ac:dyDescent="0.25">
      <c r="A13" s="18"/>
      <c r="B13" s="3" t="s">
        <v>81</v>
      </c>
      <c r="C13" s="4">
        <v>180</v>
      </c>
      <c r="D13" s="5">
        <f>$C13*3.65/100</f>
        <v>6.57</v>
      </c>
      <c r="E13" s="5">
        <f>$C13*3.32/100</f>
        <v>5.976</v>
      </c>
      <c r="F13" s="5">
        <f>$C13*23.25/100</f>
        <v>41.85</v>
      </c>
      <c r="G13" s="5">
        <f>$C13*141/100</f>
        <v>253.8</v>
      </c>
      <c r="H13" s="19" t="s">
        <v>82</v>
      </c>
    </row>
    <row r="14" spans="1:8" ht="31.5" customHeight="1" x14ac:dyDescent="0.25">
      <c r="A14" s="18"/>
      <c r="B14" s="27" t="s">
        <v>17</v>
      </c>
      <c r="C14" s="4">
        <v>5</v>
      </c>
      <c r="D14" s="5">
        <f>$C14*0.5/100</f>
        <v>2.5000000000000001E-2</v>
      </c>
      <c r="E14" s="5">
        <f>$C14*82.5/100</f>
        <v>4.125</v>
      </c>
      <c r="F14" s="5">
        <f>$C14*0.8/100</f>
        <v>0.04</v>
      </c>
      <c r="G14" s="5">
        <f>$C14*748/100</f>
        <v>37.4</v>
      </c>
      <c r="H14" s="19" t="s">
        <v>47</v>
      </c>
    </row>
    <row r="15" spans="1:8" ht="31.5" customHeight="1" x14ac:dyDescent="0.25">
      <c r="A15" s="18"/>
      <c r="B15" s="6" t="s">
        <v>19</v>
      </c>
      <c r="C15" s="4">
        <v>40</v>
      </c>
      <c r="D15" s="5">
        <f>$C15*5.4/100</f>
        <v>2.16</v>
      </c>
      <c r="E15" s="5">
        <f>$C15*1/100</f>
        <v>0.4</v>
      </c>
      <c r="F15" s="5">
        <f>$C15*44.6/100</f>
        <v>17.84</v>
      </c>
      <c r="G15" s="5">
        <f>$C15*212/100</f>
        <v>84.8</v>
      </c>
      <c r="H15" s="19" t="s">
        <v>23</v>
      </c>
    </row>
    <row r="16" spans="1:8" ht="31.5" customHeight="1" x14ac:dyDescent="0.25">
      <c r="A16" s="20" t="s">
        <v>27</v>
      </c>
      <c r="B16" s="7"/>
      <c r="C16" s="8">
        <f>SUM(C11:C15)</f>
        <v>575</v>
      </c>
      <c r="D16" s="8">
        <f>SUM(D11:D15)</f>
        <v>52.378799999999998</v>
      </c>
      <c r="E16" s="8">
        <f>SUM(E11:E15)</f>
        <v>46.215600000000002</v>
      </c>
      <c r="F16" s="8">
        <f>SUM(F11:F15)</f>
        <v>122.25080000000001</v>
      </c>
      <c r="G16" s="8">
        <f>SUM(G11:G15)</f>
        <v>1130.8600000000001</v>
      </c>
      <c r="H16" s="22"/>
    </row>
    <row r="17" spans="1:8" ht="31.5" customHeight="1" thickBot="1" x14ac:dyDescent="0.3">
      <c r="A17" s="23" t="s">
        <v>28</v>
      </c>
      <c r="B17" s="24"/>
      <c r="C17" s="25">
        <f>C10+C16</f>
        <v>1122</v>
      </c>
      <c r="D17" s="25">
        <f>D10+D16</f>
        <v>65.325000000000003</v>
      </c>
      <c r="E17" s="25">
        <f>E10+E16</f>
        <v>61.429600000000001</v>
      </c>
      <c r="F17" s="25">
        <f>F10+F16</f>
        <v>225.2022</v>
      </c>
      <c r="G17" s="25">
        <f>G10+G16</f>
        <v>1725.2525000000001</v>
      </c>
      <c r="H17" s="26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</sheetData>
  <sheetProtection password="CC39" sheet="1" objects="1" scenarios="1"/>
  <mergeCells count="6">
    <mergeCell ref="C5:H5"/>
    <mergeCell ref="A6:A9"/>
    <mergeCell ref="A10:B10"/>
    <mergeCell ref="A11:A15"/>
    <mergeCell ref="A16:B16"/>
    <mergeCell ref="A17:B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H13" sqref="H13"/>
    </sheetView>
  </sheetViews>
  <sheetFormatPr defaultRowHeight="15" x14ac:dyDescent="0.25"/>
  <cols>
    <col min="1" max="1" width="18.28515625" customWidth="1"/>
    <col min="2" max="2" width="31.14062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9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</row>
    <row r="4" spans="1:8" x14ac:dyDescent="0.25">
      <c r="A4" s="14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5">
        <v>8</v>
      </c>
    </row>
    <row r="5" spans="1:8" ht="31.5" customHeight="1" x14ac:dyDescent="0.25">
      <c r="A5" s="16" t="s">
        <v>8</v>
      </c>
      <c r="B5" s="12" t="s">
        <v>9</v>
      </c>
      <c r="C5" s="13"/>
      <c r="D5" s="13"/>
      <c r="E5" s="13"/>
      <c r="F5" s="13"/>
      <c r="G5" s="13"/>
      <c r="H5" s="17"/>
    </row>
    <row r="6" spans="1:8" ht="31.5" customHeight="1" x14ac:dyDescent="0.25">
      <c r="A6" s="18" t="s">
        <v>14</v>
      </c>
      <c r="B6" s="3" t="s">
        <v>10</v>
      </c>
      <c r="C6" s="4">
        <v>210</v>
      </c>
      <c r="D6" s="5">
        <f>$C$6*3.7/100</f>
        <v>7.77</v>
      </c>
      <c r="E6" s="5">
        <f>$C$6*6.97/100</f>
        <v>14.637</v>
      </c>
      <c r="F6" s="5">
        <f>$C$6*15.98/100</f>
        <v>33.558</v>
      </c>
      <c r="G6" s="5">
        <f>$C$6*142/100</f>
        <v>298.2</v>
      </c>
      <c r="H6" s="19" t="s">
        <v>21</v>
      </c>
    </row>
    <row r="7" spans="1:8" ht="31.5" customHeight="1" x14ac:dyDescent="0.25">
      <c r="A7" s="18"/>
      <c r="B7" s="6" t="s">
        <v>11</v>
      </c>
      <c r="C7" s="4">
        <v>200</v>
      </c>
      <c r="D7" s="5">
        <f>$C$7*0/100</f>
        <v>0</v>
      </c>
      <c r="E7" s="5">
        <f>$C$7*0/100</f>
        <v>0</v>
      </c>
      <c r="F7" s="5">
        <f>$C$7*11.2/100</f>
        <v>22.4</v>
      </c>
      <c r="G7" s="5">
        <f>$C$7*45/100</f>
        <v>90</v>
      </c>
      <c r="H7" s="19" t="s">
        <v>22</v>
      </c>
    </row>
    <row r="8" spans="1:8" ht="31.5" customHeight="1" x14ac:dyDescent="0.25">
      <c r="A8" s="18"/>
      <c r="B8" s="6" t="s">
        <v>12</v>
      </c>
      <c r="C8" s="4">
        <v>100</v>
      </c>
      <c r="D8" s="5">
        <f>$C$8*6.5/100</f>
        <v>6.5</v>
      </c>
      <c r="E8" s="5">
        <f>$C$8*4.2/100</f>
        <v>4.2</v>
      </c>
      <c r="F8" s="5">
        <f>$C$8*37.6/100</f>
        <v>37.6</v>
      </c>
      <c r="G8" s="5">
        <f>$C$8*293/100</f>
        <v>293</v>
      </c>
      <c r="H8" s="19" t="s">
        <v>23</v>
      </c>
    </row>
    <row r="9" spans="1:8" ht="31.5" customHeight="1" x14ac:dyDescent="0.25">
      <c r="A9" s="20" t="s">
        <v>13</v>
      </c>
      <c r="B9" s="7"/>
      <c r="C9" s="8">
        <f>SUM(C6:C8)</f>
        <v>510</v>
      </c>
      <c r="D9" s="8">
        <f>SUM(D6:D8)</f>
        <v>14.27</v>
      </c>
      <c r="E9" s="8">
        <f>SUM(E6:E8)</f>
        <v>18.837</v>
      </c>
      <c r="F9" s="8">
        <f>SUM(F6:F8)</f>
        <v>93.557999999999993</v>
      </c>
      <c r="G9" s="8">
        <f>SUM(G6:G8)</f>
        <v>681.2</v>
      </c>
      <c r="H9" s="21"/>
    </row>
    <row r="10" spans="1:8" ht="31.5" customHeight="1" x14ac:dyDescent="0.25">
      <c r="A10" s="18" t="s">
        <v>29</v>
      </c>
      <c r="B10" s="3" t="s">
        <v>15</v>
      </c>
      <c r="C10" s="4">
        <v>250</v>
      </c>
      <c r="D10" s="5">
        <f>$C10*5.48/100</f>
        <v>13.7</v>
      </c>
      <c r="E10" s="5">
        <f>$C10*4.74/100</f>
        <v>11.85</v>
      </c>
      <c r="F10" s="5">
        <f>$C10*19.74/100</f>
        <v>49.35</v>
      </c>
      <c r="G10" s="5">
        <f>$C10*146/100</f>
        <v>365</v>
      </c>
      <c r="H10" s="19" t="s">
        <v>24</v>
      </c>
    </row>
    <row r="11" spans="1:8" ht="31.5" customHeight="1" x14ac:dyDescent="0.25">
      <c r="A11" s="18"/>
      <c r="B11" s="6" t="s">
        <v>16</v>
      </c>
      <c r="C11" s="4">
        <v>100</v>
      </c>
      <c r="D11" s="5">
        <f>$C11*7.85/100</f>
        <v>7.85</v>
      </c>
      <c r="E11" s="5">
        <f>$C11*6.51/100</f>
        <v>6.51</v>
      </c>
      <c r="F11" s="5">
        <f>$C11*7.89/100</f>
        <v>7.89</v>
      </c>
      <c r="G11" s="5">
        <f>$C11*123/100</f>
        <v>123</v>
      </c>
      <c r="H11" s="19" t="s">
        <v>26</v>
      </c>
    </row>
    <row r="12" spans="1:8" ht="31.5" customHeight="1" x14ac:dyDescent="0.25">
      <c r="A12" s="18"/>
      <c r="B12" s="27" t="s">
        <v>17</v>
      </c>
      <c r="C12" s="4">
        <v>5</v>
      </c>
      <c r="D12" s="5">
        <f>$C12*0.5/100</f>
        <v>2.5000000000000001E-2</v>
      </c>
      <c r="E12" s="5">
        <f>$C12*82.5/100</f>
        <v>4.125</v>
      </c>
      <c r="F12" s="5">
        <f>$C12*0.8/100</f>
        <v>0.04</v>
      </c>
      <c r="G12" s="5">
        <f>$C12*748/100</f>
        <v>37.4</v>
      </c>
      <c r="H12" s="19" t="s">
        <v>47</v>
      </c>
    </row>
    <row r="13" spans="1:8" ht="31.5" customHeight="1" x14ac:dyDescent="0.25">
      <c r="A13" s="18"/>
      <c r="B13" s="6" t="s">
        <v>89</v>
      </c>
      <c r="C13" s="4">
        <v>180</v>
      </c>
      <c r="D13" s="5">
        <f>$C13*2.54/100</f>
        <v>4.5720000000000001</v>
      </c>
      <c r="E13" s="5">
        <f>$C13*4.07/100</f>
        <v>7.3260000000000005</v>
      </c>
      <c r="F13" s="5">
        <f>$C13*25.74/100</f>
        <v>46.332000000000001</v>
      </c>
      <c r="G13" s="5">
        <f>$C13*152/100</f>
        <v>273.60000000000002</v>
      </c>
      <c r="H13" s="19" t="s">
        <v>21</v>
      </c>
    </row>
    <row r="14" spans="1:8" ht="31.5" customHeight="1" x14ac:dyDescent="0.25">
      <c r="A14" s="18"/>
      <c r="B14" s="6" t="s">
        <v>18</v>
      </c>
      <c r="C14" s="4">
        <v>215</v>
      </c>
      <c r="D14" s="5">
        <f>$C14*0.2/100</f>
        <v>0.43</v>
      </c>
      <c r="E14" s="5">
        <f>$C14*0.05/100</f>
        <v>0.1075</v>
      </c>
      <c r="F14" s="5">
        <f>$C14*15.01/100</f>
        <v>32.271500000000003</v>
      </c>
      <c r="G14" s="5">
        <f>$C14*57/100</f>
        <v>122.55</v>
      </c>
      <c r="H14" s="19" t="s">
        <v>25</v>
      </c>
    </row>
    <row r="15" spans="1:8" ht="31.5" customHeight="1" x14ac:dyDescent="0.25">
      <c r="A15" s="18"/>
      <c r="B15" s="6" t="s">
        <v>19</v>
      </c>
      <c r="C15" s="4">
        <v>40</v>
      </c>
      <c r="D15" s="5">
        <f>$C15*5.4/100</f>
        <v>2.16</v>
      </c>
      <c r="E15" s="5">
        <f>$C15*1/100</f>
        <v>0.4</v>
      </c>
      <c r="F15" s="5">
        <f>$C15*44.6/100</f>
        <v>17.84</v>
      </c>
      <c r="G15" s="5">
        <f>$C15*212/100</f>
        <v>84.8</v>
      </c>
      <c r="H15" s="19" t="s">
        <v>23</v>
      </c>
    </row>
    <row r="16" spans="1:8" ht="15.75" x14ac:dyDescent="0.25">
      <c r="A16" s="18"/>
      <c r="B16" s="6" t="s">
        <v>20</v>
      </c>
      <c r="C16" s="4">
        <v>40</v>
      </c>
      <c r="D16" s="5">
        <f>$C16*7.5/100</f>
        <v>3</v>
      </c>
      <c r="E16" s="5">
        <f>$C16*2.9/100</f>
        <v>1.1599999999999999</v>
      </c>
      <c r="F16" s="5">
        <f>$C16*50.7/100</f>
        <v>20.28</v>
      </c>
      <c r="G16" s="5">
        <f>$C16*264/100</f>
        <v>105.6</v>
      </c>
      <c r="H16" s="19" t="s">
        <v>23</v>
      </c>
    </row>
    <row r="17" spans="1:8" ht="31.5" customHeight="1" x14ac:dyDescent="0.25">
      <c r="A17" s="20" t="s">
        <v>27</v>
      </c>
      <c r="B17" s="7"/>
      <c r="C17" s="8">
        <f>SUM(C10:C16)</f>
        <v>830</v>
      </c>
      <c r="D17" s="8">
        <f>SUM(D10:D16)</f>
        <v>31.736999999999995</v>
      </c>
      <c r="E17" s="8">
        <f>SUM(E10:E16)</f>
        <v>31.4785</v>
      </c>
      <c r="F17" s="8">
        <f>SUM(F10:F16)</f>
        <v>174.0035</v>
      </c>
      <c r="G17" s="8">
        <f>SUM(G10:G16)</f>
        <v>1111.9499999999998</v>
      </c>
      <c r="H17" s="22"/>
    </row>
    <row r="18" spans="1:8" ht="31.5" customHeight="1" thickBot="1" x14ac:dyDescent="0.3">
      <c r="A18" s="23" t="s">
        <v>28</v>
      </c>
      <c r="B18" s="24"/>
      <c r="C18" s="25">
        <f>C9+C17</f>
        <v>1340</v>
      </c>
      <c r="D18" s="25">
        <f t="shared" ref="D18:G18" si="0">D9+D17</f>
        <v>46.006999999999991</v>
      </c>
      <c r="E18" s="25">
        <f t="shared" si="0"/>
        <v>50.3155</v>
      </c>
      <c r="F18" s="25">
        <f t="shared" si="0"/>
        <v>267.56150000000002</v>
      </c>
      <c r="G18" s="25">
        <f t="shared" si="0"/>
        <v>1793.1499999999999</v>
      </c>
      <c r="H18" s="26"/>
    </row>
    <row r="19" spans="1:8" ht="15.75" x14ac:dyDescent="0.25">
      <c r="A19" s="1"/>
      <c r="B19" s="1"/>
      <c r="C19" s="1"/>
      <c r="D19" s="1"/>
      <c r="E19" s="1"/>
      <c r="F19" s="1"/>
      <c r="G19" s="1"/>
      <c r="H19" s="1"/>
    </row>
  </sheetData>
  <sheetProtection password="CC39" sheet="1" objects="1" scenarios="1"/>
  <mergeCells count="6">
    <mergeCell ref="A6:A8"/>
    <mergeCell ref="A9:B9"/>
    <mergeCell ref="A17:B17"/>
    <mergeCell ref="A10:A16"/>
    <mergeCell ref="A18:B18"/>
    <mergeCell ref="C5:H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showGridLines="0" workbookViewId="0">
      <selection activeCell="H19" sqref="A3:H19"/>
    </sheetView>
  </sheetViews>
  <sheetFormatPr defaultRowHeight="15" x14ac:dyDescent="0.25"/>
  <cols>
    <col min="1" max="1" width="18.28515625" customWidth="1"/>
    <col min="2" max="2" width="32.2851562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9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</row>
    <row r="4" spans="1:8" x14ac:dyDescent="0.25">
      <c r="A4" s="14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5">
        <v>8</v>
      </c>
    </row>
    <row r="5" spans="1:8" ht="31.5" customHeight="1" x14ac:dyDescent="0.25">
      <c r="A5" s="16" t="s">
        <v>8</v>
      </c>
      <c r="B5" s="12" t="s">
        <v>30</v>
      </c>
      <c r="C5" s="13"/>
      <c r="D5" s="13"/>
      <c r="E5" s="13"/>
      <c r="F5" s="13"/>
      <c r="G5" s="13"/>
      <c r="H5" s="17"/>
    </row>
    <row r="6" spans="1:8" ht="31.5" customHeight="1" x14ac:dyDescent="0.25">
      <c r="A6" s="18" t="s">
        <v>14</v>
      </c>
      <c r="B6" s="3" t="s">
        <v>31</v>
      </c>
      <c r="C6" s="4">
        <v>200</v>
      </c>
      <c r="D6" s="5">
        <f>$C$6*12.58/100</f>
        <v>25.16</v>
      </c>
      <c r="E6" s="5">
        <f>$C$6*30.24/100</f>
        <v>60.48</v>
      </c>
      <c r="F6" s="5">
        <f>$C$6*56.14/100</f>
        <v>112.28</v>
      </c>
      <c r="G6" s="5">
        <f>$C$6*148.5/100</f>
        <v>297</v>
      </c>
      <c r="H6" s="19" t="s">
        <v>32</v>
      </c>
    </row>
    <row r="7" spans="1:8" ht="31.5" customHeight="1" x14ac:dyDescent="0.25">
      <c r="A7" s="18"/>
      <c r="B7" s="3" t="s">
        <v>33</v>
      </c>
      <c r="C7" s="4">
        <v>100</v>
      </c>
      <c r="D7" s="5">
        <f>$C$7*7.98/100</f>
        <v>7.98</v>
      </c>
      <c r="E7" s="5">
        <f>$C$7*6.93/100</f>
        <v>6.93</v>
      </c>
      <c r="F7" s="5">
        <f>$C$7*4.47/100</f>
        <v>4.47</v>
      </c>
      <c r="G7" s="5">
        <f>$C$7*113/100</f>
        <v>113</v>
      </c>
      <c r="H7" s="19" t="s">
        <v>34</v>
      </c>
    </row>
    <row r="8" spans="1:8" ht="31.5" customHeight="1" x14ac:dyDescent="0.25">
      <c r="A8" s="18"/>
      <c r="B8" s="3" t="s">
        <v>35</v>
      </c>
      <c r="C8" s="4">
        <v>100</v>
      </c>
      <c r="D8" s="5">
        <f>$C$8*0.4/100</f>
        <v>0.4</v>
      </c>
      <c r="E8" s="5">
        <f>$C$8*0.05/100</f>
        <v>0.05</v>
      </c>
      <c r="F8" s="5">
        <f>$C$8*1.3/100</f>
        <v>1.3</v>
      </c>
      <c r="G8" s="5">
        <f>$C$8*7/100</f>
        <v>7</v>
      </c>
      <c r="H8" s="19" t="s">
        <v>36</v>
      </c>
    </row>
    <row r="9" spans="1:8" ht="31.5" customHeight="1" x14ac:dyDescent="0.25">
      <c r="A9" s="18"/>
      <c r="B9" s="6" t="s">
        <v>18</v>
      </c>
      <c r="C9" s="4">
        <v>215</v>
      </c>
      <c r="D9" s="5">
        <f>$C$9*0.2/100</f>
        <v>0.43</v>
      </c>
      <c r="E9" s="5">
        <f>$C$9*0.05/100</f>
        <v>0.1075</v>
      </c>
      <c r="F9" s="5">
        <f>$C$9*15.01/100</f>
        <v>32.271500000000003</v>
      </c>
      <c r="G9" s="5">
        <f>$C$9*57/100</f>
        <v>122.55</v>
      </c>
      <c r="H9" s="19" t="s">
        <v>25</v>
      </c>
    </row>
    <row r="10" spans="1:8" ht="31.5" customHeight="1" x14ac:dyDescent="0.25">
      <c r="A10" s="18"/>
      <c r="B10" s="6" t="s">
        <v>19</v>
      </c>
      <c r="C10" s="4">
        <v>40</v>
      </c>
      <c r="D10" s="5">
        <f>$C10*7.5/100</f>
        <v>3</v>
      </c>
      <c r="E10" s="5">
        <f>$C10*2.9/100</f>
        <v>1.1599999999999999</v>
      </c>
      <c r="F10" s="5">
        <f>$C10*50.7/100</f>
        <v>20.28</v>
      </c>
      <c r="G10" s="5">
        <f>$C10*264/100</f>
        <v>105.6</v>
      </c>
      <c r="H10" s="19" t="s">
        <v>23</v>
      </c>
    </row>
    <row r="11" spans="1:8" ht="31.5" customHeight="1" x14ac:dyDescent="0.25">
      <c r="A11" s="20" t="s">
        <v>13</v>
      </c>
      <c r="B11" s="7"/>
      <c r="C11" s="8">
        <f>SUM(C6:C10)</f>
        <v>655</v>
      </c>
      <c r="D11" s="8">
        <f>SUM(D6:D10)</f>
        <v>36.97</v>
      </c>
      <c r="E11" s="8">
        <f>SUM(E6:E10)</f>
        <v>68.727499999999992</v>
      </c>
      <c r="F11" s="8">
        <f>SUM(F6:F10)</f>
        <v>170.60150000000002</v>
      </c>
      <c r="G11" s="8">
        <f>SUM(G6:G10)</f>
        <v>645.15</v>
      </c>
      <c r="H11" s="21"/>
    </row>
    <row r="12" spans="1:8" ht="31.5" customHeight="1" x14ac:dyDescent="0.25">
      <c r="A12" s="18" t="s">
        <v>29</v>
      </c>
      <c r="B12" s="3" t="s">
        <v>37</v>
      </c>
      <c r="C12" s="4">
        <v>250</v>
      </c>
      <c r="D12" s="5">
        <f>$C12*7.14/100</f>
        <v>17.850000000000001</v>
      </c>
      <c r="E12" s="5">
        <f>$C12*5.25/100</f>
        <v>13.125</v>
      </c>
      <c r="F12" s="5">
        <f>$C12*15.52/100</f>
        <v>38.799999999999997</v>
      </c>
      <c r="G12" s="5">
        <f>$C12*140/100</f>
        <v>350</v>
      </c>
      <c r="H12" s="19" t="s">
        <v>38</v>
      </c>
    </row>
    <row r="13" spans="1:8" ht="31.5" customHeight="1" x14ac:dyDescent="0.25">
      <c r="A13" s="18"/>
      <c r="B13" s="6" t="s">
        <v>16</v>
      </c>
      <c r="C13" s="4">
        <v>100</v>
      </c>
      <c r="D13" s="5">
        <f>$C13*7.85/100</f>
        <v>7.85</v>
      </c>
      <c r="E13" s="5">
        <f>$C13*6.51/100</f>
        <v>6.51</v>
      </c>
      <c r="F13" s="5">
        <f>$C13*7.89/100</f>
        <v>7.89</v>
      </c>
      <c r="G13" s="5">
        <f>$C13*123/100</f>
        <v>123</v>
      </c>
      <c r="H13" s="19" t="s">
        <v>26</v>
      </c>
    </row>
    <row r="14" spans="1:8" ht="31.5" customHeight="1" x14ac:dyDescent="0.25">
      <c r="A14" s="18"/>
      <c r="B14" s="6" t="s">
        <v>39</v>
      </c>
      <c r="C14" s="4">
        <v>155</v>
      </c>
      <c r="D14" s="5">
        <f>$C14*2.16/100</f>
        <v>3.3480000000000003</v>
      </c>
      <c r="E14" s="5">
        <f>$C14*3.73/100</f>
        <v>5.7814999999999994</v>
      </c>
      <c r="F14" s="5">
        <f>$C14*14.7/100</f>
        <v>22.785</v>
      </c>
      <c r="G14" s="5">
        <f>$C14*104/100</f>
        <v>161.19999999999999</v>
      </c>
      <c r="H14" s="19" t="s">
        <v>40</v>
      </c>
    </row>
    <row r="15" spans="1:8" ht="31.5" customHeight="1" x14ac:dyDescent="0.25">
      <c r="A15" s="18"/>
      <c r="B15" s="6" t="s">
        <v>18</v>
      </c>
      <c r="C15" s="4">
        <v>215</v>
      </c>
      <c r="D15" s="5">
        <f>$C15*0.2/100</f>
        <v>0.43</v>
      </c>
      <c r="E15" s="5">
        <f>$C15*0.05/100</f>
        <v>0.1075</v>
      </c>
      <c r="F15" s="5">
        <f>$C15*15.01/100</f>
        <v>32.271500000000003</v>
      </c>
      <c r="G15" s="5">
        <f>$C15*57/100</f>
        <v>122.55</v>
      </c>
      <c r="H15" s="19" t="s">
        <v>25</v>
      </c>
    </row>
    <row r="16" spans="1:8" ht="31.5" customHeight="1" x14ac:dyDescent="0.25">
      <c r="A16" s="18"/>
      <c r="B16" s="6" t="s">
        <v>19</v>
      </c>
      <c r="C16" s="4">
        <v>40</v>
      </c>
      <c r="D16" s="5">
        <f>$C16*5.4/100</f>
        <v>2.16</v>
      </c>
      <c r="E16" s="5">
        <f>$C16*1/100</f>
        <v>0.4</v>
      </c>
      <c r="F16" s="5">
        <f>$C16*44.6/100</f>
        <v>17.84</v>
      </c>
      <c r="G16" s="5">
        <f>$C16*212/100</f>
        <v>84.8</v>
      </c>
      <c r="H16" s="19" t="s">
        <v>23</v>
      </c>
    </row>
    <row r="17" spans="1:8" ht="15.75" x14ac:dyDescent="0.25">
      <c r="A17" s="18"/>
      <c r="B17" s="6" t="s">
        <v>20</v>
      </c>
      <c r="C17" s="4">
        <v>40</v>
      </c>
      <c r="D17" s="5">
        <f>$C17*7.5/100</f>
        <v>3</v>
      </c>
      <c r="E17" s="5">
        <f>$C17*2.9/100</f>
        <v>1.1599999999999999</v>
      </c>
      <c r="F17" s="5">
        <f>$C17*50.7/100</f>
        <v>20.28</v>
      </c>
      <c r="G17" s="5">
        <f>$C17*264/100</f>
        <v>105.6</v>
      </c>
      <c r="H17" s="19" t="s">
        <v>23</v>
      </c>
    </row>
    <row r="18" spans="1:8" ht="31.5" customHeight="1" x14ac:dyDescent="0.25">
      <c r="A18" s="20" t="s">
        <v>27</v>
      </c>
      <c r="B18" s="7"/>
      <c r="C18" s="8">
        <f>SUM(C12:C17)</f>
        <v>800</v>
      </c>
      <c r="D18" s="8">
        <f>SUM(D12:D17)</f>
        <v>34.638000000000005</v>
      </c>
      <c r="E18" s="8">
        <f>SUM(E12:E17)</f>
        <v>27.084</v>
      </c>
      <c r="F18" s="8">
        <f>SUM(F12:F17)</f>
        <v>139.8665</v>
      </c>
      <c r="G18" s="8">
        <f>SUM(G12:G17)</f>
        <v>947.15</v>
      </c>
      <c r="H18" s="22"/>
    </row>
    <row r="19" spans="1:8" ht="31.5" customHeight="1" thickBot="1" x14ac:dyDescent="0.3">
      <c r="A19" s="23" t="s">
        <v>28</v>
      </c>
      <c r="B19" s="24"/>
      <c r="C19" s="25">
        <f>C11+C18</f>
        <v>1455</v>
      </c>
      <c r="D19" s="25">
        <f>D11+D18</f>
        <v>71.608000000000004</v>
      </c>
      <c r="E19" s="25">
        <f>E11+E18</f>
        <v>95.811499999999995</v>
      </c>
      <c r="F19" s="25">
        <f>F11+F18</f>
        <v>310.46800000000002</v>
      </c>
      <c r="G19" s="25">
        <f>G11+G18</f>
        <v>1592.3</v>
      </c>
      <c r="H19" s="26"/>
    </row>
    <row r="20" spans="1:8" ht="15.75" x14ac:dyDescent="0.25">
      <c r="A20" s="1"/>
      <c r="B20" s="1"/>
      <c r="C20" s="1"/>
      <c r="D20" s="1"/>
      <c r="E20" s="1"/>
      <c r="F20" s="1"/>
      <c r="G20" s="1"/>
      <c r="H20" s="1"/>
    </row>
  </sheetData>
  <sheetProtection password="CC39" sheet="1" objects="1" scenarios="1"/>
  <mergeCells count="6">
    <mergeCell ref="C5:H5"/>
    <mergeCell ref="A6:A10"/>
    <mergeCell ref="A11:B11"/>
    <mergeCell ref="A12:A17"/>
    <mergeCell ref="A18:B18"/>
    <mergeCell ref="A19:B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showGridLines="0" workbookViewId="0">
      <selection activeCell="H17" sqref="A3:H17"/>
    </sheetView>
  </sheetViews>
  <sheetFormatPr defaultRowHeight="15" x14ac:dyDescent="0.25"/>
  <cols>
    <col min="1" max="1" width="18.28515625" customWidth="1"/>
    <col min="2" max="2" width="32.2851562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9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</row>
    <row r="4" spans="1:8" x14ac:dyDescent="0.25">
      <c r="A4" s="14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5">
        <v>8</v>
      </c>
    </row>
    <row r="5" spans="1:8" ht="31.5" customHeight="1" x14ac:dyDescent="0.25">
      <c r="A5" s="16" t="s">
        <v>8</v>
      </c>
      <c r="B5" s="12" t="s">
        <v>41</v>
      </c>
      <c r="C5" s="13"/>
      <c r="D5" s="13"/>
      <c r="E5" s="13"/>
      <c r="F5" s="13"/>
      <c r="G5" s="13"/>
      <c r="H5" s="17"/>
    </row>
    <row r="6" spans="1:8" ht="31.5" customHeight="1" x14ac:dyDescent="0.25">
      <c r="A6" s="18" t="s">
        <v>14</v>
      </c>
      <c r="B6" s="6" t="s">
        <v>39</v>
      </c>
      <c r="C6" s="4">
        <v>200</v>
      </c>
      <c r="D6" s="5">
        <f>$C6*2.16/100</f>
        <v>4.32</v>
      </c>
      <c r="E6" s="5">
        <f>$C6*3.73/100</f>
        <v>7.46</v>
      </c>
      <c r="F6" s="5">
        <f>$C6*14.7/100</f>
        <v>29.4</v>
      </c>
      <c r="G6" s="5">
        <f>$C6*104/100</f>
        <v>208</v>
      </c>
      <c r="H6" s="19" t="s">
        <v>40</v>
      </c>
    </row>
    <row r="7" spans="1:8" ht="31.5" customHeight="1" x14ac:dyDescent="0.25">
      <c r="A7" s="18"/>
      <c r="B7" s="3" t="s">
        <v>42</v>
      </c>
      <c r="C7" s="4">
        <v>100</v>
      </c>
      <c r="D7" s="5">
        <f>$C$7*16.79/100</f>
        <v>16.79</v>
      </c>
      <c r="E7" s="5">
        <f>$C$7*10.93/100</f>
        <v>10.93</v>
      </c>
      <c r="F7" s="5">
        <f>$C$7*5.64/100</f>
        <v>5.64</v>
      </c>
      <c r="G7" s="5">
        <f>$C$7*188/100</f>
        <v>188</v>
      </c>
      <c r="H7" s="19" t="s">
        <v>34</v>
      </c>
    </row>
    <row r="8" spans="1:8" ht="31.5" customHeight="1" x14ac:dyDescent="0.25">
      <c r="A8" s="18"/>
      <c r="B8" s="6" t="s">
        <v>53</v>
      </c>
      <c r="C8" s="4">
        <v>200</v>
      </c>
      <c r="D8" s="5">
        <f>$C$8*1.4/100</f>
        <v>2.8</v>
      </c>
      <c r="E8" s="5">
        <f>$C$8*1.6/100</f>
        <v>3.2</v>
      </c>
      <c r="F8" s="5">
        <f>$C$8*22.31/100</f>
        <v>44.62</v>
      </c>
      <c r="G8" s="5">
        <f>$C$8*105/100</f>
        <v>210</v>
      </c>
      <c r="H8" s="19" t="s">
        <v>25</v>
      </c>
    </row>
    <row r="9" spans="1:8" ht="31.5" customHeight="1" x14ac:dyDescent="0.25">
      <c r="A9" s="18"/>
      <c r="B9" s="6" t="s">
        <v>19</v>
      </c>
      <c r="C9" s="4">
        <v>40</v>
      </c>
      <c r="D9" s="5">
        <f>$C9*7.5/100</f>
        <v>3</v>
      </c>
      <c r="E9" s="5">
        <f>$C9*2.9/100</f>
        <v>1.1599999999999999</v>
      </c>
      <c r="F9" s="5">
        <f>$C9*50.7/100</f>
        <v>20.28</v>
      </c>
      <c r="G9" s="5">
        <f>$C9*264/100</f>
        <v>105.6</v>
      </c>
      <c r="H9" s="19" t="s">
        <v>23</v>
      </c>
    </row>
    <row r="10" spans="1:8" ht="31.5" customHeight="1" x14ac:dyDescent="0.25">
      <c r="A10" s="20" t="s">
        <v>13</v>
      </c>
      <c r="B10" s="7"/>
      <c r="C10" s="8">
        <f>SUM(C6:C9)</f>
        <v>540</v>
      </c>
      <c r="D10" s="8">
        <f>SUM(D6:D9)</f>
        <v>26.91</v>
      </c>
      <c r="E10" s="8">
        <f>SUM(E6:E9)</f>
        <v>22.75</v>
      </c>
      <c r="F10" s="8">
        <f>SUM(F6:F9)</f>
        <v>99.94</v>
      </c>
      <c r="G10" s="8">
        <f>SUM(G6:G9)</f>
        <v>711.6</v>
      </c>
      <c r="H10" s="21"/>
    </row>
    <row r="11" spans="1:8" ht="31.5" customHeight="1" x14ac:dyDescent="0.25">
      <c r="A11" s="18" t="s">
        <v>29</v>
      </c>
      <c r="B11" s="3" t="s">
        <v>43</v>
      </c>
      <c r="C11" s="4">
        <v>255</v>
      </c>
      <c r="D11" s="5">
        <f>$C11*2.06/100</f>
        <v>5.253000000000001</v>
      </c>
      <c r="E11" s="5">
        <f>$C11*5.27/100</f>
        <v>13.438499999999999</v>
      </c>
      <c r="F11" s="5">
        <f>$C11*13.01/100</f>
        <v>33.1755</v>
      </c>
      <c r="G11" s="5">
        <f>$C11*108/100</f>
        <v>275.39999999999998</v>
      </c>
      <c r="H11" s="19" t="s">
        <v>38</v>
      </c>
    </row>
    <row r="12" spans="1:8" ht="31.5" customHeight="1" x14ac:dyDescent="0.25">
      <c r="A12" s="18"/>
      <c r="B12" s="27" t="s">
        <v>44</v>
      </c>
      <c r="C12" s="4">
        <v>240</v>
      </c>
      <c r="D12" s="5">
        <f>$C12*18.99/100</f>
        <v>45.575999999999993</v>
      </c>
      <c r="E12" s="5">
        <f>$C12*7.18/100</f>
        <v>17.231999999999999</v>
      </c>
      <c r="F12" s="5">
        <f>$C12*30.8/100</f>
        <v>73.92</v>
      </c>
      <c r="G12" s="5">
        <f>$C12*267/100</f>
        <v>640.79999999999995</v>
      </c>
      <c r="H12" s="19" t="s">
        <v>45</v>
      </c>
    </row>
    <row r="13" spans="1:8" ht="31.5" customHeight="1" x14ac:dyDescent="0.25">
      <c r="A13" s="18"/>
      <c r="B13" s="6" t="s">
        <v>46</v>
      </c>
      <c r="C13" s="4">
        <v>222</v>
      </c>
      <c r="D13" s="5">
        <f>$C13*0.26/100</f>
        <v>0.57719999999999994</v>
      </c>
      <c r="E13" s="5">
        <f>$C13*0.05/100</f>
        <v>0.11100000000000002</v>
      </c>
      <c r="F13" s="5">
        <f>$C13*15.22/100</f>
        <v>33.788400000000003</v>
      </c>
      <c r="G13" s="5">
        <f>$C13*59/100</f>
        <v>130.97999999999999</v>
      </c>
      <c r="H13" s="19" t="s">
        <v>47</v>
      </c>
    </row>
    <row r="14" spans="1:8" ht="31.5" customHeight="1" x14ac:dyDescent="0.25">
      <c r="A14" s="18"/>
      <c r="B14" s="6" t="s">
        <v>19</v>
      </c>
      <c r="C14" s="4">
        <v>80</v>
      </c>
      <c r="D14" s="5">
        <f>$C14*5.4/100</f>
        <v>4.32</v>
      </c>
      <c r="E14" s="5">
        <f>$C14*1/100</f>
        <v>0.8</v>
      </c>
      <c r="F14" s="5">
        <f>$C14*44.6/100</f>
        <v>35.68</v>
      </c>
      <c r="G14" s="5">
        <f>$C14*212/100</f>
        <v>169.6</v>
      </c>
      <c r="H14" s="19" t="s">
        <v>23</v>
      </c>
    </row>
    <row r="15" spans="1:8" ht="15.75" x14ac:dyDescent="0.25">
      <c r="A15" s="18"/>
      <c r="B15" s="6" t="s">
        <v>20</v>
      </c>
      <c r="C15" s="4">
        <v>30</v>
      </c>
      <c r="D15" s="5">
        <f>$C15*7.5/100</f>
        <v>2.25</v>
      </c>
      <c r="E15" s="5">
        <f>$C15*2.9/100</f>
        <v>0.87</v>
      </c>
      <c r="F15" s="5">
        <f>$C15*50.7/100</f>
        <v>15.21</v>
      </c>
      <c r="G15" s="5">
        <f>$C15*264/100</f>
        <v>79.2</v>
      </c>
      <c r="H15" s="19" t="s">
        <v>23</v>
      </c>
    </row>
    <row r="16" spans="1:8" ht="31.5" customHeight="1" x14ac:dyDescent="0.25">
      <c r="A16" s="20" t="s">
        <v>27</v>
      </c>
      <c r="B16" s="7"/>
      <c r="C16" s="8">
        <f>SUM(C11:C15)</f>
        <v>827</v>
      </c>
      <c r="D16" s="8">
        <f>SUM(D11:D15)</f>
        <v>57.976199999999992</v>
      </c>
      <c r="E16" s="8">
        <f>SUM(E11:E15)</f>
        <v>32.451499999999996</v>
      </c>
      <c r="F16" s="8">
        <f>SUM(F11:F15)</f>
        <v>191.77390000000003</v>
      </c>
      <c r="G16" s="8">
        <f>SUM(G11:G15)</f>
        <v>1295.9799999999998</v>
      </c>
      <c r="H16" s="22"/>
    </row>
    <row r="17" spans="1:8" ht="31.5" customHeight="1" thickBot="1" x14ac:dyDescent="0.3">
      <c r="A17" s="23" t="s">
        <v>28</v>
      </c>
      <c r="B17" s="24"/>
      <c r="C17" s="25">
        <f>C10+C16</f>
        <v>1367</v>
      </c>
      <c r="D17" s="25">
        <f>D10+D16</f>
        <v>84.886199999999988</v>
      </c>
      <c r="E17" s="25">
        <f>E10+E16</f>
        <v>55.201499999999996</v>
      </c>
      <c r="F17" s="25">
        <f>F10+F16</f>
        <v>291.71390000000002</v>
      </c>
      <c r="G17" s="25">
        <f>G10+G16</f>
        <v>2007.58</v>
      </c>
      <c r="H17" s="26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</sheetData>
  <sheetProtection password="CC39" sheet="1" objects="1" scenarios="1"/>
  <mergeCells count="6">
    <mergeCell ref="C5:H5"/>
    <mergeCell ref="A6:A9"/>
    <mergeCell ref="A10:B10"/>
    <mergeCell ref="A11:A15"/>
    <mergeCell ref="A16:B16"/>
    <mergeCell ref="A17:B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showGridLines="0" workbookViewId="0">
      <selection activeCell="H17" sqref="A3:H17"/>
    </sheetView>
  </sheetViews>
  <sheetFormatPr defaultRowHeight="15" x14ac:dyDescent="0.25"/>
  <cols>
    <col min="1" max="1" width="18.28515625" customWidth="1"/>
    <col min="2" max="2" width="32.2851562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9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</row>
    <row r="4" spans="1:8" x14ac:dyDescent="0.25">
      <c r="A4" s="14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5">
        <v>8</v>
      </c>
    </row>
    <row r="5" spans="1:8" ht="31.5" customHeight="1" x14ac:dyDescent="0.25">
      <c r="A5" s="16" t="s">
        <v>8</v>
      </c>
      <c r="B5" s="12" t="s">
        <v>60</v>
      </c>
      <c r="C5" s="13"/>
      <c r="D5" s="13"/>
      <c r="E5" s="13"/>
      <c r="F5" s="13"/>
      <c r="G5" s="13"/>
      <c r="H5" s="17"/>
    </row>
    <row r="6" spans="1:8" ht="38.25" customHeight="1" x14ac:dyDescent="0.25">
      <c r="A6" s="18" t="s">
        <v>14</v>
      </c>
      <c r="B6" s="3" t="s">
        <v>48</v>
      </c>
      <c r="C6" s="4">
        <v>210</v>
      </c>
      <c r="D6" s="5">
        <f>$C6*4.09/100</f>
        <v>8.5890000000000004</v>
      </c>
      <c r="E6" s="5">
        <f>$C6*6.4/100</f>
        <v>13.44</v>
      </c>
      <c r="F6" s="5">
        <f>$C6*21.23/100</f>
        <v>44.582999999999998</v>
      </c>
      <c r="G6" s="5">
        <f>$C6*159/100</f>
        <v>333.9</v>
      </c>
      <c r="H6" s="19" t="s">
        <v>49</v>
      </c>
    </row>
    <row r="7" spans="1:8" ht="31.5" customHeight="1" x14ac:dyDescent="0.25">
      <c r="A7" s="18"/>
      <c r="B7" s="3" t="s">
        <v>50</v>
      </c>
      <c r="C7" s="4">
        <v>40</v>
      </c>
      <c r="D7" s="5">
        <f>$C$7*6.9/100</f>
        <v>2.76</v>
      </c>
      <c r="E7" s="5">
        <f>$C$7*8.7/100</f>
        <v>3.48</v>
      </c>
      <c r="F7" s="5">
        <f>$C$7*0/100</f>
        <v>0</v>
      </c>
      <c r="G7" s="5">
        <f>$C$7*363/100</f>
        <v>145.19999999999999</v>
      </c>
      <c r="H7" s="19" t="s">
        <v>51</v>
      </c>
    </row>
    <row r="8" spans="1:8" ht="31.5" customHeight="1" x14ac:dyDescent="0.25">
      <c r="A8" s="18"/>
      <c r="B8" s="6" t="s">
        <v>18</v>
      </c>
      <c r="C8" s="4">
        <v>215</v>
      </c>
      <c r="D8" s="5">
        <f>$C$8*0.2/100</f>
        <v>0.43</v>
      </c>
      <c r="E8" s="5">
        <f>$C$8*0.05/100</f>
        <v>0.1075</v>
      </c>
      <c r="F8" s="5">
        <f>$C$8*15.01/100</f>
        <v>32.271500000000003</v>
      </c>
      <c r="G8" s="5">
        <f>$C$8*57/100</f>
        <v>122.55</v>
      </c>
      <c r="H8" s="19" t="s">
        <v>25</v>
      </c>
    </row>
    <row r="9" spans="1:8" ht="31.5" customHeight="1" x14ac:dyDescent="0.25">
      <c r="A9" s="18"/>
      <c r="B9" s="6" t="s">
        <v>52</v>
      </c>
      <c r="C9" s="4">
        <v>50</v>
      </c>
      <c r="D9" s="5">
        <f>$C9*7.5/100</f>
        <v>3.75</v>
      </c>
      <c r="E9" s="5">
        <f>$C9*2.9/100</f>
        <v>1.45</v>
      </c>
      <c r="F9" s="5">
        <f>$C9*50.7/100</f>
        <v>25.35</v>
      </c>
      <c r="G9" s="5">
        <f>$C9*264/100</f>
        <v>132</v>
      </c>
      <c r="H9" s="19" t="s">
        <v>23</v>
      </c>
    </row>
    <row r="10" spans="1:8" ht="31.5" customHeight="1" x14ac:dyDescent="0.25">
      <c r="A10" s="20" t="s">
        <v>13</v>
      </c>
      <c r="B10" s="7"/>
      <c r="C10" s="8">
        <f>SUM(C6:C9)</f>
        <v>515</v>
      </c>
      <c r="D10" s="8">
        <f>SUM(D6:D9)</f>
        <v>15.529</v>
      </c>
      <c r="E10" s="8">
        <f>SUM(E6:E9)</f>
        <v>18.477499999999999</v>
      </c>
      <c r="F10" s="8">
        <f>SUM(F6:F9)</f>
        <v>102.2045</v>
      </c>
      <c r="G10" s="8">
        <f>SUM(G6:G9)</f>
        <v>733.65</v>
      </c>
      <c r="H10" s="21"/>
    </row>
    <row r="11" spans="1:8" ht="31.5" customHeight="1" x14ac:dyDescent="0.25">
      <c r="A11" s="18" t="s">
        <v>29</v>
      </c>
      <c r="B11" s="3" t="s">
        <v>54</v>
      </c>
      <c r="C11" s="4">
        <v>255</v>
      </c>
      <c r="D11" s="5">
        <f>$C11*1.97/100</f>
        <v>5.0234999999999994</v>
      </c>
      <c r="E11" s="5">
        <f>$C11*5.32/100</f>
        <v>13.566000000000001</v>
      </c>
      <c r="F11" s="5">
        <f>$C11*9.33/100</f>
        <v>23.791499999999999</v>
      </c>
      <c r="G11" s="5">
        <f>$C11*94/100</f>
        <v>239.7</v>
      </c>
      <c r="H11" s="19" t="s">
        <v>55</v>
      </c>
    </row>
    <row r="12" spans="1:8" ht="31.5" customHeight="1" x14ac:dyDescent="0.25">
      <c r="A12" s="18"/>
      <c r="B12" s="27" t="s">
        <v>56</v>
      </c>
      <c r="C12" s="4">
        <v>300</v>
      </c>
      <c r="D12" s="5">
        <f>$C12*18.18/100</f>
        <v>54.54</v>
      </c>
      <c r="E12" s="5">
        <f>$C12*6.34/100</f>
        <v>19.02</v>
      </c>
      <c r="F12" s="5">
        <f>$C12*17.95/100</f>
        <v>53.85</v>
      </c>
      <c r="G12" s="5">
        <f>$C12*205/100</f>
        <v>615</v>
      </c>
      <c r="H12" s="19" t="s">
        <v>57</v>
      </c>
    </row>
    <row r="13" spans="1:8" ht="31.5" customHeight="1" x14ac:dyDescent="0.25">
      <c r="A13" s="18"/>
      <c r="B13" s="6" t="s">
        <v>58</v>
      </c>
      <c r="C13" s="4">
        <v>200</v>
      </c>
      <c r="D13" s="5">
        <f>$C13*0.41/100</f>
        <v>0.82</v>
      </c>
      <c r="E13" s="5">
        <f>$C13*0/100</f>
        <v>0</v>
      </c>
      <c r="F13" s="5">
        <f>$C13*25.16/100</f>
        <v>50.32</v>
      </c>
      <c r="G13" s="5">
        <f>$C13*98/100</f>
        <v>196</v>
      </c>
      <c r="H13" s="19" t="s">
        <v>59</v>
      </c>
    </row>
    <row r="14" spans="1:8" ht="31.5" customHeight="1" x14ac:dyDescent="0.25">
      <c r="A14" s="18"/>
      <c r="B14" s="6" t="s">
        <v>19</v>
      </c>
      <c r="C14" s="4">
        <v>80</v>
      </c>
      <c r="D14" s="5">
        <f>$C14*5.4/100</f>
        <v>4.32</v>
      </c>
      <c r="E14" s="5">
        <f>$C14*1/100</f>
        <v>0.8</v>
      </c>
      <c r="F14" s="5">
        <f>$C14*44.6/100</f>
        <v>35.68</v>
      </c>
      <c r="G14" s="5">
        <f>$C14*212/100</f>
        <v>169.6</v>
      </c>
      <c r="H14" s="19" t="s">
        <v>23</v>
      </c>
    </row>
    <row r="15" spans="1:8" ht="15.75" x14ac:dyDescent="0.25">
      <c r="A15" s="18"/>
      <c r="B15" s="6" t="s">
        <v>20</v>
      </c>
      <c r="C15" s="4">
        <v>30</v>
      </c>
      <c r="D15" s="5">
        <f>$C15*7.5/100</f>
        <v>2.25</v>
      </c>
      <c r="E15" s="5">
        <f>$C15*2.9/100</f>
        <v>0.87</v>
      </c>
      <c r="F15" s="5">
        <f>$C15*50.7/100</f>
        <v>15.21</v>
      </c>
      <c r="G15" s="5">
        <f>$C15*264/100</f>
        <v>79.2</v>
      </c>
      <c r="H15" s="19" t="s">
        <v>23</v>
      </c>
    </row>
    <row r="16" spans="1:8" ht="31.5" customHeight="1" x14ac:dyDescent="0.25">
      <c r="A16" s="20" t="s">
        <v>27</v>
      </c>
      <c r="B16" s="7"/>
      <c r="C16" s="8">
        <f>SUM(C11:C15)</f>
        <v>865</v>
      </c>
      <c r="D16" s="8">
        <f>SUM(D11:D15)</f>
        <v>66.953499999999991</v>
      </c>
      <c r="E16" s="8">
        <f>SUM(E11:E15)</f>
        <v>34.255999999999993</v>
      </c>
      <c r="F16" s="8">
        <f>SUM(F11:F15)</f>
        <v>178.85150000000002</v>
      </c>
      <c r="G16" s="8">
        <f>SUM(G11:G15)</f>
        <v>1299.5</v>
      </c>
      <c r="H16" s="22"/>
    </row>
    <row r="17" spans="1:8" ht="31.5" customHeight="1" thickBot="1" x14ac:dyDescent="0.3">
      <c r="A17" s="23" t="s">
        <v>28</v>
      </c>
      <c r="B17" s="24"/>
      <c r="C17" s="25">
        <f>C10+C16</f>
        <v>1380</v>
      </c>
      <c r="D17" s="25">
        <f>D10+D16</f>
        <v>82.482499999999987</v>
      </c>
      <c r="E17" s="25">
        <f>E10+E16</f>
        <v>52.733499999999992</v>
      </c>
      <c r="F17" s="25">
        <f>F10+F16</f>
        <v>281.05600000000004</v>
      </c>
      <c r="G17" s="25">
        <f>G10+G16</f>
        <v>2033.15</v>
      </c>
      <c r="H17" s="26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</sheetData>
  <sheetProtection password="CC39" sheet="1" objects="1" scenarios="1"/>
  <mergeCells count="6">
    <mergeCell ref="C5:H5"/>
    <mergeCell ref="A6:A9"/>
    <mergeCell ref="A10:B10"/>
    <mergeCell ref="A11:A15"/>
    <mergeCell ref="A16:B16"/>
    <mergeCell ref="A17:B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J20" sqref="J20"/>
    </sheetView>
  </sheetViews>
  <sheetFormatPr defaultRowHeight="15" x14ac:dyDescent="0.25"/>
  <cols>
    <col min="1" max="1" width="18.28515625" customWidth="1"/>
    <col min="2" max="2" width="32.2851562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9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</row>
    <row r="4" spans="1:8" x14ac:dyDescent="0.25">
      <c r="A4" s="14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5">
        <v>8</v>
      </c>
    </row>
    <row r="5" spans="1:8" ht="31.5" customHeight="1" x14ac:dyDescent="0.25">
      <c r="A5" s="16" t="s">
        <v>8</v>
      </c>
      <c r="B5" s="12" t="s">
        <v>61</v>
      </c>
      <c r="C5" s="13"/>
      <c r="D5" s="13"/>
      <c r="E5" s="13"/>
      <c r="F5" s="13"/>
      <c r="G5" s="13"/>
      <c r="H5" s="17"/>
    </row>
    <row r="6" spans="1:8" ht="38.25" customHeight="1" x14ac:dyDescent="0.25">
      <c r="A6" s="18" t="s">
        <v>14</v>
      </c>
      <c r="B6" s="3" t="s">
        <v>62</v>
      </c>
      <c r="C6" s="4">
        <v>150</v>
      </c>
      <c r="D6" s="5">
        <f>$C6*10.2/150</f>
        <v>10.199999999999999</v>
      </c>
      <c r="E6" s="5">
        <f>$C6*10.6/150</f>
        <v>10.6</v>
      </c>
      <c r="F6" s="5">
        <f>$C6*21.23/150</f>
        <v>21.23</v>
      </c>
      <c r="G6" s="5">
        <f>$C6*126.74/150</f>
        <v>126.74</v>
      </c>
      <c r="H6" s="19" t="s">
        <v>63</v>
      </c>
    </row>
    <row r="7" spans="1:8" ht="31.5" customHeight="1" x14ac:dyDescent="0.25">
      <c r="A7" s="18"/>
      <c r="B7" s="6" t="s">
        <v>16</v>
      </c>
      <c r="C7" s="4">
        <v>100</v>
      </c>
      <c r="D7" s="5">
        <f>$C7*7.85/100</f>
        <v>7.85</v>
      </c>
      <c r="E7" s="5">
        <f>$C7*42.1/100</f>
        <v>42.1</v>
      </c>
      <c r="F7" s="5">
        <f>$C7*7.89/100</f>
        <v>7.89</v>
      </c>
      <c r="G7" s="5">
        <f>$C7*123/100</f>
        <v>123</v>
      </c>
      <c r="H7" s="19" t="s">
        <v>26</v>
      </c>
    </row>
    <row r="8" spans="1:8" ht="31.5" customHeight="1" x14ac:dyDescent="0.25">
      <c r="A8" s="18"/>
      <c r="B8" s="6" t="s">
        <v>64</v>
      </c>
      <c r="C8" s="4">
        <v>200</v>
      </c>
      <c r="D8" s="5">
        <f>$C$8*0.21/100</f>
        <v>0.42</v>
      </c>
      <c r="E8" s="5">
        <f>$C$8*0.21/100</f>
        <v>0.42</v>
      </c>
      <c r="F8" s="5">
        <f>$C$8*15.27/100</f>
        <v>30.54</v>
      </c>
      <c r="G8" s="5">
        <f>$C$8*62/100</f>
        <v>124</v>
      </c>
      <c r="H8" s="19" t="s">
        <v>65</v>
      </c>
    </row>
    <row r="9" spans="1:8" ht="31.5" customHeight="1" x14ac:dyDescent="0.25">
      <c r="A9" s="18"/>
      <c r="B9" s="6" t="s">
        <v>19</v>
      </c>
      <c r="C9" s="4">
        <v>40</v>
      </c>
      <c r="D9" s="5">
        <f>$C9*5.4/100</f>
        <v>2.16</v>
      </c>
      <c r="E9" s="5">
        <f>$C9*1/100</f>
        <v>0.4</v>
      </c>
      <c r="F9" s="5">
        <f>$C9*44.6/100</f>
        <v>17.84</v>
      </c>
      <c r="G9" s="5">
        <f>$C9*212/100</f>
        <v>84.8</v>
      </c>
      <c r="H9" s="19" t="s">
        <v>23</v>
      </c>
    </row>
    <row r="10" spans="1:8" ht="31.5" customHeight="1" x14ac:dyDescent="0.25">
      <c r="A10" s="18"/>
      <c r="B10" s="6" t="s">
        <v>66</v>
      </c>
      <c r="C10" s="4">
        <v>30</v>
      </c>
      <c r="D10" s="5">
        <f>$C10*1.97/100</f>
        <v>0.59099999999999997</v>
      </c>
      <c r="E10" s="5">
        <f>$C10*7.74/100</f>
        <v>2.3220000000000001</v>
      </c>
      <c r="F10" s="5">
        <f>$C10*0.3/100</f>
        <v>0.09</v>
      </c>
      <c r="G10" s="5">
        <f>$C10*162.9/100</f>
        <v>48.87</v>
      </c>
      <c r="H10" s="19" t="s">
        <v>67</v>
      </c>
    </row>
    <row r="11" spans="1:8" ht="31.5" customHeight="1" x14ac:dyDescent="0.25">
      <c r="A11" s="20" t="s">
        <v>13</v>
      </c>
      <c r="B11" s="7"/>
      <c r="C11" s="8">
        <f>SUM(C6:C10)</f>
        <v>520</v>
      </c>
      <c r="D11" s="8">
        <f>SUM(D6:D10)</f>
        <v>21.221</v>
      </c>
      <c r="E11" s="8">
        <f>SUM(E6:E10)</f>
        <v>55.842000000000006</v>
      </c>
      <c r="F11" s="8">
        <f>SUM(F6:F10)</f>
        <v>77.59</v>
      </c>
      <c r="G11" s="8">
        <f>SUM(G6:G10)</f>
        <v>507.41</v>
      </c>
      <c r="H11" s="21"/>
    </row>
    <row r="12" spans="1:8" ht="31.5" customHeight="1" x14ac:dyDescent="0.25">
      <c r="A12" s="18" t="s">
        <v>29</v>
      </c>
      <c r="B12" s="3" t="s">
        <v>68</v>
      </c>
      <c r="C12" s="4">
        <v>280</v>
      </c>
      <c r="D12" s="5">
        <f>$C12*6.67/100</f>
        <v>18.675999999999998</v>
      </c>
      <c r="E12" s="5">
        <f>$C12*6.99/100</f>
        <v>19.571999999999999</v>
      </c>
      <c r="F12" s="5">
        <f>$C12*18.45/100</f>
        <v>51.66</v>
      </c>
      <c r="G12" s="5">
        <f>$C12*167/100</f>
        <v>467.6</v>
      </c>
      <c r="H12" s="19" t="s">
        <v>69</v>
      </c>
    </row>
    <row r="13" spans="1:8" ht="31.5" customHeight="1" x14ac:dyDescent="0.25">
      <c r="A13" s="18"/>
      <c r="B13" s="3" t="s">
        <v>48</v>
      </c>
      <c r="C13" s="4">
        <v>210</v>
      </c>
      <c r="D13" s="5">
        <f>$C13*4.09/100</f>
        <v>8.5890000000000004</v>
      </c>
      <c r="E13" s="5">
        <f>$C13*6.4/100</f>
        <v>13.44</v>
      </c>
      <c r="F13" s="5">
        <f>$C13*21.23/100</f>
        <v>44.582999999999998</v>
      </c>
      <c r="G13" s="5">
        <f>$C13*159/100</f>
        <v>333.9</v>
      </c>
      <c r="H13" s="19" t="s">
        <v>49</v>
      </c>
    </row>
    <row r="14" spans="1:8" ht="31.5" customHeight="1" x14ac:dyDescent="0.25">
      <c r="A14" s="18"/>
      <c r="B14" s="6" t="s">
        <v>11</v>
      </c>
      <c r="C14" s="4">
        <v>200</v>
      </c>
      <c r="D14" s="5">
        <f>$C14*0/100</f>
        <v>0</v>
      </c>
      <c r="E14" s="5">
        <f>$C14*0/100</f>
        <v>0</v>
      </c>
      <c r="F14" s="5">
        <f>$C14*11.2/100</f>
        <v>22.4</v>
      </c>
      <c r="G14" s="5">
        <f>$C14*45/100</f>
        <v>90</v>
      </c>
      <c r="H14" s="19" t="s">
        <v>22</v>
      </c>
    </row>
    <row r="15" spans="1:8" ht="31.5" customHeight="1" x14ac:dyDescent="0.25">
      <c r="A15" s="18"/>
      <c r="B15" s="6" t="s">
        <v>19</v>
      </c>
      <c r="C15" s="4">
        <v>80</v>
      </c>
      <c r="D15" s="5">
        <f>$C15*5.4/100</f>
        <v>4.32</v>
      </c>
      <c r="E15" s="5">
        <f>$C15*1/100</f>
        <v>0.8</v>
      </c>
      <c r="F15" s="5">
        <f>$C15*44.6/100</f>
        <v>35.68</v>
      </c>
      <c r="G15" s="5">
        <f>$C15*212/100</f>
        <v>169.6</v>
      </c>
      <c r="H15" s="19" t="s">
        <v>23</v>
      </c>
    </row>
    <row r="16" spans="1:8" ht="15.75" x14ac:dyDescent="0.25">
      <c r="A16" s="18"/>
      <c r="B16" s="6" t="s">
        <v>20</v>
      </c>
      <c r="C16" s="4">
        <v>30</v>
      </c>
      <c r="D16" s="5">
        <f>$C16*7.5/100</f>
        <v>2.25</v>
      </c>
      <c r="E16" s="5">
        <f>$C16*2.9/100</f>
        <v>0.87</v>
      </c>
      <c r="F16" s="5">
        <f>$C16*50.7/100</f>
        <v>15.21</v>
      </c>
      <c r="G16" s="5">
        <f>$C16*264/100</f>
        <v>79.2</v>
      </c>
      <c r="H16" s="19" t="s">
        <v>23</v>
      </c>
    </row>
    <row r="17" spans="1:8" ht="31.5" customHeight="1" x14ac:dyDescent="0.25">
      <c r="A17" s="20" t="s">
        <v>27</v>
      </c>
      <c r="B17" s="7"/>
      <c r="C17" s="8">
        <f>SUM(C12:C16)</f>
        <v>800</v>
      </c>
      <c r="D17" s="8">
        <f>SUM(D12:D16)</f>
        <v>33.835000000000001</v>
      </c>
      <c r="E17" s="8">
        <f>SUM(E12:E16)</f>
        <v>34.681999999999995</v>
      </c>
      <c r="F17" s="8">
        <f>SUM(F12:F16)</f>
        <v>169.53300000000002</v>
      </c>
      <c r="G17" s="8">
        <f>SUM(G12:G16)</f>
        <v>1140.3</v>
      </c>
      <c r="H17" s="22"/>
    </row>
    <row r="18" spans="1:8" ht="31.5" customHeight="1" thickBot="1" x14ac:dyDescent="0.3">
      <c r="A18" s="23" t="s">
        <v>28</v>
      </c>
      <c r="B18" s="24"/>
      <c r="C18" s="25">
        <f>C11+C17</f>
        <v>1320</v>
      </c>
      <c r="D18" s="25">
        <f>D11+D17</f>
        <v>55.055999999999997</v>
      </c>
      <c r="E18" s="25">
        <f>E11+E17</f>
        <v>90.524000000000001</v>
      </c>
      <c r="F18" s="25">
        <f>F11+F17</f>
        <v>247.12300000000002</v>
      </c>
      <c r="G18" s="25">
        <f>G11+G17</f>
        <v>1647.71</v>
      </c>
      <c r="H18" s="26"/>
    </row>
    <row r="19" spans="1:8" ht="15.75" x14ac:dyDescent="0.25">
      <c r="A19" s="1"/>
      <c r="B19" s="1"/>
      <c r="C19" s="1"/>
      <c r="D19" s="1"/>
      <c r="E19" s="1"/>
      <c r="F19" s="1"/>
      <c r="G19" s="1"/>
      <c r="H19" s="1"/>
    </row>
  </sheetData>
  <sheetProtection password="CC39" sheet="1" objects="1" scenarios="1"/>
  <mergeCells count="6">
    <mergeCell ref="C5:H5"/>
    <mergeCell ref="A6:A10"/>
    <mergeCell ref="A11:B11"/>
    <mergeCell ref="A12:A16"/>
    <mergeCell ref="A17:B17"/>
    <mergeCell ref="A18:B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showGridLines="0" workbookViewId="0">
      <selection activeCell="H19" sqref="A3:H19"/>
    </sheetView>
  </sheetViews>
  <sheetFormatPr defaultRowHeight="15" x14ac:dyDescent="0.25"/>
  <cols>
    <col min="1" max="1" width="18.28515625" customWidth="1"/>
    <col min="2" max="2" width="32.710937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9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</row>
    <row r="4" spans="1:8" x14ac:dyDescent="0.25">
      <c r="A4" s="14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5">
        <v>8</v>
      </c>
    </row>
    <row r="5" spans="1:8" ht="31.5" customHeight="1" x14ac:dyDescent="0.25">
      <c r="A5" s="16" t="s">
        <v>70</v>
      </c>
      <c r="B5" s="12" t="s">
        <v>9</v>
      </c>
      <c r="C5" s="13"/>
      <c r="D5" s="13"/>
      <c r="E5" s="13"/>
      <c r="F5" s="13"/>
      <c r="G5" s="13"/>
      <c r="H5" s="17"/>
    </row>
    <row r="6" spans="1:8" ht="31.5" customHeight="1" x14ac:dyDescent="0.25">
      <c r="A6" s="18" t="s">
        <v>14</v>
      </c>
      <c r="B6" s="3" t="s">
        <v>71</v>
      </c>
      <c r="C6" s="4">
        <v>230</v>
      </c>
      <c r="D6" s="5">
        <f>$C6*6.07/100</f>
        <v>13.961000000000002</v>
      </c>
      <c r="E6" s="5">
        <f>$C6*7.48/100</f>
        <v>17.204000000000001</v>
      </c>
      <c r="F6" s="5">
        <f>$C6*23.98/100</f>
        <v>55.154000000000003</v>
      </c>
      <c r="G6" s="5">
        <f>$C6*191/100</f>
        <v>439.3</v>
      </c>
      <c r="H6" s="19" t="s">
        <v>72</v>
      </c>
    </row>
    <row r="7" spans="1:8" ht="31.5" customHeight="1" x14ac:dyDescent="0.25">
      <c r="A7" s="18"/>
      <c r="B7" s="6" t="s">
        <v>18</v>
      </c>
      <c r="C7" s="4">
        <v>215</v>
      </c>
      <c r="D7" s="5">
        <f>$C7*0.2/100</f>
        <v>0.43</v>
      </c>
      <c r="E7" s="5">
        <f>$C7*0.05/100</f>
        <v>0.1075</v>
      </c>
      <c r="F7" s="5">
        <f>$C7*15.01/100</f>
        <v>32.271500000000003</v>
      </c>
      <c r="G7" s="5">
        <f>$C7*57/100</f>
        <v>122.55</v>
      </c>
      <c r="H7" s="19" t="s">
        <v>25</v>
      </c>
    </row>
    <row r="8" spans="1:8" ht="31.5" customHeight="1" x14ac:dyDescent="0.25">
      <c r="A8" s="18"/>
      <c r="B8" s="6" t="s">
        <v>19</v>
      </c>
      <c r="C8" s="4">
        <v>40</v>
      </c>
      <c r="D8" s="5">
        <f>$C8*5.4/100</f>
        <v>2.16</v>
      </c>
      <c r="E8" s="5">
        <f>$C8*1/100</f>
        <v>0.4</v>
      </c>
      <c r="F8" s="5">
        <f>$C8*44.6/100</f>
        <v>17.84</v>
      </c>
      <c r="G8" s="5">
        <f>$C8*212/100</f>
        <v>84.8</v>
      </c>
      <c r="H8" s="19" t="s">
        <v>23</v>
      </c>
    </row>
    <row r="9" spans="1:8" ht="31.5" customHeight="1" x14ac:dyDescent="0.25">
      <c r="A9" s="18"/>
      <c r="B9" s="6" t="s">
        <v>73</v>
      </c>
      <c r="C9" s="4">
        <v>100</v>
      </c>
      <c r="D9" s="5">
        <f>$C9*0/100</f>
        <v>0</v>
      </c>
      <c r="E9" s="5">
        <f>$C9*4.52/100</f>
        <v>4.5199999999999996</v>
      </c>
      <c r="F9" s="5">
        <f>$C9*46/100</f>
        <v>46</v>
      </c>
      <c r="G9" s="5">
        <f>$C9*137.08/100</f>
        <v>137.08000000000001</v>
      </c>
      <c r="H9" s="19" t="s">
        <v>22</v>
      </c>
    </row>
    <row r="10" spans="1:8" ht="31.5" customHeight="1" x14ac:dyDescent="0.25">
      <c r="A10" s="20" t="s">
        <v>13</v>
      </c>
      <c r="B10" s="7"/>
      <c r="C10" s="8">
        <f>SUM(C6:C9)</f>
        <v>585</v>
      </c>
      <c r="D10" s="8">
        <f>SUM(D6:D9)</f>
        <v>16.551000000000002</v>
      </c>
      <c r="E10" s="8">
        <f>SUM(E6:E9)</f>
        <v>22.2315</v>
      </c>
      <c r="F10" s="8">
        <f>SUM(F6:F9)</f>
        <v>151.2655</v>
      </c>
      <c r="G10" s="8">
        <f>SUM(G6:G9)</f>
        <v>783.73</v>
      </c>
      <c r="H10" s="21"/>
    </row>
    <row r="11" spans="1:8" ht="31.5" customHeight="1" x14ac:dyDescent="0.25">
      <c r="A11" s="18" t="s">
        <v>29</v>
      </c>
      <c r="B11" s="3" t="s">
        <v>15</v>
      </c>
      <c r="C11" s="4">
        <v>250</v>
      </c>
      <c r="D11" s="5">
        <f>$C11*5.48/100</f>
        <v>13.7</v>
      </c>
      <c r="E11" s="5">
        <f>$C11*4.74/100</f>
        <v>11.85</v>
      </c>
      <c r="F11" s="5">
        <f>$C11*19.74/100</f>
        <v>49.35</v>
      </c>
      <c r="G11" s="5">
        <f>$C11*146/100</f>
        <v>365</v>
      </c>
      <c r="H11" s="19" t="s">
        <v>24</v>
      </c>
    </row>
    <row r="12" spans="1:8" ht="31.5" customHeight="1" x14ac:dyDescent="0.25">
      <c r="A12" s="18"/>
      <c r="B12" s="6" t="s">
        <v>74</v>
      </c>
      <c r="C12" s="4">
        <v>100</v>
      </c>
      <c r="D12" s="5">
        <f>$C12*7.81/100</f>
        <v>7.81</v>
      </c>
      <c r="E12" s="5">
        <f>$C12*10.49/100</f>
        <v>10.49</v>
      </c>
      <c r="F12" s="5">
        <f>$C12*8.02/100</f>
        <v>8.02</v>
      </c>
      <c r="G12" s="5">
        <f>$C12*265/100</f>
        <v>265</v>
      </c>
      <c r="H12" s="19" t="s">
        <v>75</v>
      </c>
    </row>
    <row r="13" spans="1:8" ht="31.5" customHeight="1" x14ac:dyDescent="0.25">
      <c r="A13" s="18"/>
      <c r="B13" s="6" t="s">
        <v>76</v>
      </c>
      <c r="C13" s="4">
        <v>50</v>
      </c>
      <c r="D13" s="5">
        <f>$C13*8.16/100</f>
        <v>4.08</v>
      </c>
      <c r="E13" s="5">
        <f>$C13*17.23/100</f>
        <v>8.6150000000000002</v>
      </c>
      <c r="F13" s="5">
        <f>$C13*62.21/100</f>
        <v>31.105</v>
      </c>
      <c r="G13" s="5">
        <f>$C13*437/100</f>
        <v>218.5</v>
      </c>
      <c r="H13" s="19" t="s">
        <v>77</v>
      </c>
    </row>
    <row r="14" spans="1:8" ht="31.5" customHeight="1" x14ac:dyDescent="0.25">
      <c r="A14" s="18"/>
      <c r="B14" s="6" t="s">
        <v>39</v>
      </c>
      <c r="C14" s="4">
        <v>180</v>
      </c>
      <c r="D14" s="5">
        <f>$C14*2.16/100</f>
        <v>3.8879999999999999</v>
      </c>
      <c r="E14" s="5">
        <f>$C14*3.73/100</f>
        <v>6.7139999999999995</v>
      </c>
      <c r="F14" s="5">
        <f>$C14*14.7/100</f>
        <v>26.46</v>
      </c>
      <c r="G14" s="5">
        <f>$C14*104/100</f>
        <v>187.2</v>
      </c>
      <c r="H14" s="19" t="s">
        <v>40</v>
      </c>
    </row>
    <row r="15" spans="1:8" ht="31.5" customHeight="1" x14ac:dyDescent="0.25">
      <c r="A15" s="18"/>
      <c r="B15" s="6" t="s">
        <v>18</v>
      </c>
      <c r="C15" s="4">
        <v>215</v>
      </c>
      <c r="D15" s="5">
        <f>$C15*0.2/100</f>
        <v>0.43</v>
      </c>
      <c r="E15" s="5">
        <f>$C15*0.05/100</f>
        <v>0.1075</v>
      </c>
      <c r="F15" s="5">
        <f>$C15*15.01/100</f>
        <v>32.271500000000003</v>
      </c>
      <c r="G15" s="5">
        <f>$C15*57/100</f>
        <v>122.55</v>
      </c>
      <c r="H15" s="19" t="s">
        <v>25</v>
      </c>
    </row>
    <row r="16" spans="1:8" ht="31.5" customHeight="1" x14ac:dyDescent="0.25">
      <c r="A16" s="18"/>
      <c r="B16" s="6" t="s">
        <v>19</v>
      </c>
      <c r="C16" s="4">
        <v>80</v>
      </c>
      <c r="D16" s="5">
        <f>$C16*5.4/100</f>
        <v>4.32</v>
      </c>
      <c r="E16" s="5">
        <f>$C16*1/100</f>
        <v>0.8</v>
      </c>
      <c r="F16" s="5">
        <f>$C16*44.6/100</f>
        <v>35.68</v>
      </c>
      <c r="G16" s="5">
        <f>$C16*212/100</f>
        <v>169.6</v>
      </c>
      <c r="H16" s="19" t="s">
        <v>23</v>
      </c>
    </row>
    <row r="17" spans="1:8" ht="15.75" x14ac:dyDescent="0.25">
      <c r="A17" s="18"/>
      <c r="B17" s="6" t="s">
        <v>20</v>
      </c>
      <c r="C17" s="4">
        <v>30</v>
      </c>
      <c r="D17" s="5">
        <f>$C17*7.5/100</f>
        <v>2.25</v>
      </c>
      <c r="E17" s="5">
        <f>$C17*2.9/100</f>
        <v>0.87</v>
      </c>
      <c r="F17" s="5">
        <f>$C17*50.7/100</f>
        <v>15.21</v>
      </c>
      <c r="G17" s="5">
        <f>$C17*264/100</f>
        <v>79.2</v>
      </c>
      <c r="H17" s="19" t="s">
        <v>23</v>
      </c>
    </row>
    <row r="18" spans="1:8" ht="31.5" customHeight="1" x14ac:dyDescent="0.25">
      <c r="A18" s="20" t="s">
        <v>27</v>
      </c>
      <c r="B18" s="7"/>
      <c r="C18" s="8">
        <f>SUM(C11:C17)</f>
        <v>905</v>
      </c>
      <c r="D18" s="8">
        <f>SUM(D11:D17)</f>
        <v>36.477999999999994</v>
      </c>
      <c r="E18" s="8">
        <f>SUM(E11:E17)</f>
        <v>39.446499999999993</v>
      </c>
      <c r="F18" s="8">
        <f>SUM(F11:F17)</f>
        <v>198.09650000000002</v>
      </c>
      <c r="G18" s="8">
        <f>SUM(G11:G17)</f>
        <v>1407.05</v>
      </c>
      <c r="H18" s="22"/>
    </row>
    <row r="19" spans="1:8" ht="31.5" customHeight="1" thickBot="1" x14ac:dyDescent="0.3">
      <c r="A19" s="23" t="s">
        <v>28</v>
      </c>
      <c r="B19" s="24"/>
      <c r="C19" s="25">
        <f>C10+C18</f>
        <v>1490</v>
      </c>
      <c r="D19" s="25">
        <f t="shared" ref="D19:G19" si="0">D10+D18</f>
        <v>53.028999999999996</v>
      </c>
      <c r="E19" s="25">
        <f t="shared" si="0"/>
        <v>61.677999999999997</v>
      </c>
      <c r="F19" s="25">
        <f t="shared" si="0"/>
        <v>349.36200000000002</v>
      </c>
      <c r="G19" s="25">
        <f t="shared" si="0"/>
        <v>2190.7799999999997</v>
      </c>
      <c r="H19" s="26"/>
    </row>
    <row r="20" spans="1:8" ht="15.75" x14ac:dyDescent="0.25">
      <c r="A20" s="1"/>
      <c r="B20" s="1"/>
      <c r="C20" s="1"/>
      <c r="D20" s="1"/>
      <c r="E20" s="1"/>
      <c r="F20" s="1"/>
      <c r="G20" s="1"/>
      <c r="H20" s="1"/>
    </row>
  </sheetData>
  <sheetProtection password="CC39" sheet="1" objects="1" scenarios="1"/>
  <mergeCells count="6">
    <mergeCell ref="C5:H5"/>
    <mergeCell ref="A6:A9"/>
    <mergeCell ref="A10:B10"/>
    <mergeCell ref="A11:A17"/>
    <mergeCell ref="A18:B18"/>
    <mergeCell ref="A19:B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showGridLines="0" workbookViewId="0">
      <selection activeCell="K17" sqref="K17"/>
    </sheetView>
  </sheetViews>
  <sheetFormatPr defaultRowHeight="15" x14ac:dyDescent="0.25"/>
  <cols>
    <col min="1" max="1" width="18.28515625" customWidth="1"/>
    <col min="2" max="2" width="32.710937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9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</row>
    <row r="4" spans="1:8" x14ac:dyDescent="0.25">
      <c r="A4" s="14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5">
        <v>8</v>
      </c>
    </row>
    <row r="5" spans="1:8" ht="31.5" customHeight="1" x14ac:dyDescent="0.25">
      <c r="A5" s="16" t="s">
        <v>70</v>
      </c>
      <c r="B5" s="12" t="s">
        <v>30</v>
      </c>
      <c r="C5" s="13"/>
      <c r="D5" s="13"/>
      <c r="E5" s="13"/>
      <c r="F5" s="13"/>
      <c r="G5" s="13"/>
      <c r="H5" s="17"/>
    </row>
    <row r="6" spans="1:8" ht="31.5" customHeight="1" x14ac:dyDescent="0.25">
      <c r="A6" s="18" t="s">
        <v>14</v>
      </c>
      <c r="B6" s="3" t="s">
        <v>31</v>
      </c>
      <c r="C6" s="4">
        <v>200</v>
      </c>
      <c r="D6" s="5">
        <f>$C$6*12.58/100</f>
        <v>25.16</v>
      </c>
      <c r="E6" s="5">
        <f>$C$6*30.24/100</f>
        <v>60.48</v>
      </c>
      <c r="F6" s="5">
        <f>$C$6*56.14/100</f>
        <v>112.28</v>
      </c>
      <c r="G6" s="5">
        <f>$C$6*148.5/100</f>
        <v>297</v>
      </c>
      <c r="H6" s="19" t="s">
        <v>32</v>
      </c>
    </row>
    <row r="7" spans="1:8" ht="31.5" customHeight="1" x14ac:dyDescent="0.25">
      <c r="A7" s="18"/>
      <c r="B7" s="6" t="s">
        <v>74</v>
      </c>
      <c r="C7" s="4">
        <v>100</v>
      </c>
      <c r="D7" s="5">
        <f>$C7*7.81/100</f>
        <v>7.81</v>
      </c>
      <c r="E7" s="5">
        <f>$C7*10.49/100</f>
        <v>10.49</v>
      </c>
      <c r="F7" s="5">
        <f>$C7*8.02/100</f>
        <v>8.02</v>
      </c>
      <c r="G7" s="5">
        <f>$C7*265/100</f>
        <v>265</v>
      </c>
      <c r="H7" s="19" t="s">
        <v>75</v>
      </c>
    </row>
    <row r="8" spans="1:8" ht="31.5" customHeight="1" x14ac:dyDescent="0.25">
      <c r="A8" s="18"/>
      <c r="B8" s="6" t="s">
        <v>76</v>
      </c>
      <c r="C8" s="4">
        <v>50</v>
      </c>
      <c r="D8" s="5">
        <f>$C8*8.16/100</f>
        <v>4.08</v>
      </c>
      <c r="E8" s="5">
        <f>$C8*17.23/100</f>
        <v>8.6150000000000002</v>
      </c>
      <c r="F8" s="5">
        <f>$C8*62.21/100</f>
        <v>31.105</v>
      </c>
      <c r="G8" s="5">
        <f>$C8*437/100</f>
        <v>218.5</v>
      </c>
      <c r="H8" s="19" t="s">
        <v>77</v>
      </c>
    </row>
    <row r="9" spans="1:8" ht="31.5" customHeight="1" x14ac:dyDescent="0.25">
      <c r="A9" s="18"/>
      <c r="B9" s="6" t="s">
        <v>19</v>
      </c>
      <c r="C9" s="4">
        <v>40</v>
      </c>
      <c r="D9" s="5">
        <f>$C9*5.4/100</f>
        <v>2.16</v>
      </c>
      <c r="E9" s="5">
        <f>$C9*1/100</f>
        <v>0.4</v>
      </c>
      <c r="F9" s="5">
        <f>$C9*44.6/100</f>
        <v>17.84</v>
      </c>
      <c r="G9" s="5">
        <f>$C9*212/100</f>
        <v>84.8</v>
      </c>
      <c r="H9" s="19" t="s">
        <v>23</v>
      </c>
    </row>
    <row r="10" spans="1:8" ht="31.5" customHeight="1" x14ac:dyDescent="0.25">
      <c r="A10" s="18"/>
      <c r="B10" s="6" t="s">
        <v>11</v>
      </c>
      <c r="C10" s="4">
        <v>200</v>
      </c>
      <c r="D10" s="5">
        <f>$C10*0/100</f>
        <v>0</v>
      </c>
      <c r="E10" s="5">
        <f>$C10*0/100</f>
        <v>0</v>
      </c>
      <c r="F10" s="5">
        <f>$C10*11.2/100</f>
        <v>22.4</v>
      </c>
      <c r="G10" s="5">
        <f>$C10*45/100</f>
        <v>90</v>
      </c>
      <c r="H10" s="19" t="s">
        <v>22</v>
      </c>
    </row>
    <row r="11" spans="1:8" ht="31.5" customHeight="1" x14ac:dyDescent="0.25">
      <c r="A11" s="20" t="s">
        <v>13</v>
      </c>
      <c r="B11" s="7"/>
      <c r="C11" s="8">
        <f>SUM(C6:C10)</f>
        <v>590</v>
      </c>
      <c r="D11" s="8">
        <f>SUM(D6:D10)</f>
        <v>39.209999999999994</v>
      </c>
      <c r="E11" s="8">
        <f>SUM(E6:E10)</f>
        <v>79.984999999999999</v>
      </c>
      <c r="F11" s="8">
        <f>SUM(F6:F10)</f>
        <v>191.64500000000001</v>
      </c>
      <c r="G11" s="8">
        <f>SUM(G6:G10)</f>
        <v>955.3</v>
      </c>
      <c r="H11" s="21"/>
    </row>
    <row r="12" spans="1:8" ht="31.5" customHeight="1" x14ac:dyDescent="0.25">
      <c r="A12" s="18" t="s">
        <v>29</v>
      </c>
      <c r="B12" s="3" t="s">
        <v>78</v>
      </c>
      <c r="C12" s="4">
        <v>250</v>
      </c>
      <c r="D12" s="5">
        <f>$C12*5.65/100</f>
        <v>14.125</v>
      </c>
      <c r="E12" s="5">
        <f>$C12*5.91/100</f>
        <v>14.775</v>
      </c>
      <c r="F12" s="5">
        <f>$C12*21.06/100</f>
        <v>52.65</v>
      </c>
      <c r="G12" s="5">
        <f>$C12*161/100</f>
        <v>402.5</v>
      </c>
      <c r="H12" s="19" t="s">
        <v>79</v>
      </c>
    </row>
    <row r="13" spans="1:8" ht="31.5" customHeight="1" x14ac:dyDescent="0.25">
      <c r="A13" s="18"/>
      <c r="B13" s="6" t="s">
        <v>74</v>
      </c>
      <c r="C13" s="4">
        <v>100</v>
      </c>
      <c r="D13" s="5">
        <f>$C13*7.81/100</f>
        <v>7.81</v>
      </c>
      <c r="E13" s="5">
        <f>$C13*10.49/100</f>
        <v>10.49</v>
      </c>
      <c r="F13" s="5">
        <f>$C13*8.02/100</f>
        <v>8.02</v>
      </c>
      <c r="G13" s="5">
        <f>$C13*265/100</f>
        <v>265</v>
      </c>
      <c r="H13" s="19" t="s">
        <v>75</v>
      </c>
    </row>
    <row r="14" spans="1:8" ht="31.5" customHeight="1" x14ac:dyDescent="0.25">
      <c r="A14" s="18"/>
      <c r="B14" s="27" t="s">
        <v>80</v>
      </c>
      <c r="C14" s="4">
        <v>100</v>
      </c>
      <c r="D14" s="5">
        <f>$C14*16.15/100</f>
        <v>16.149999999999999</v>
      </c>
      <c r="E14" s="5">
        <f>$C14*7.02/100</f>
        <v>7.02</v>
      </c>
      <c r="F14" s="5">
        <f>$C14*4.79/100</f>
        <v>4.79</v>
      </c>
      <c r="G14" s="5">
        <f>$C14*147/100</f>
        <v>147</v>
      </c>
      <c r="H14" s="19" t="s">
        <v>90</v>
      </c>
    </row>
    <row r="15" spans="1:8" ht="31.5" customHeight="1" x14ac:dyDescent="0.25">
      <c r="A15" s="18"/>
      <c r="B15" s="3" t="s">
        <v>81</v>
      </c>
      <c r="C15" s="4">
        <v>180</v>
      </c>
      <c r="D15" s="5">
        <f>$C15*3.65/100</f>
        <v>6.57</v>
      </c>
      <c r="E15" s="5">
        <f>$C15*3.32/100</f>
        <v>5.976</v>
      </c>
      <c r="F15" s="5">
        <f>$C15*23.25/100</f>
        <v>41.85</v>
      </c>
      <c r="G15" s="5">
        <f>$C15*141/100</f>
        <v>253.8</v>
      </c>
      <c r="H15" s="19" t="s">
        <v>82</v>
      </c>
    </row>
    <row r="16" spans="1:8" ht="31.5" customHeight="1" x14ac:dyDescent="0.25">
      <c r="A16" s="18"/>
      <c r="B16" s="6" t="s">
        <v>18</v>
      </c>
      <c r="C16" s="4">
        <v>215</v>
      </c>
      <c r="D16" s="5">
        <f>$C16*0.2/100</f>
        <v>0.43</v>
      </c>
      <c r="E16" s="5">
        <f>$C16*0.05/100</f>
        <v>0.1075</v>
      </c>
      <c r="F16" s="5">
        <f>$C16*15.01/100</f>
        <v>32.271500000000003</v>
      </c>
      <c r="G16" s="5">
        <f>$C16*57/100</f>
        <v>122.55</v>
      </c>
      <c r="H16" s="19" t="s">
        <v>25</v>
      </c>
    </row>
    <row r="17" spans="1:8" ht="31.5" customHeight="1" x14ac:dyDescent="0.25">
      <c r="A17" s="18"/>
      <c r="B17" s="6" t="s">
        <v>19</v>
      </c>
      <c r="C17" s="4">
        <v>80</v>
      </c>
      <c r="D17" s="5">
        <f>$C17*5.4/100</f>
        <v>4.32</v>
      </c>
      <c r="E17" s="5">
        <f>$C17*1/100</f>
        <v>0.8</v>
      </c>
      <c r="F17" s="5">
        <f>$C17*44.6/100</f>
        <v>35.68</v>
      </c>
      <c r="G17" s="5">
        <f>$C17*212/100</f>
        <v>169.6</v>
      </c>
      <c r="H17" s="19" t="s">
        <v>23</v>
      </c>
    </row>
    <row r="18" spans="1:8" ht="31.5" customHeight="1" x14ac:dyDescent="0.25">
      <c r="A18" s="20" t="s">
        <v>27</v>
      </c>
      <c r="B18" s="7"/>
      <c r="C18" s="8">
        <f>SUM(C12:C17)</f>
        <v>925</v>
      </c>
      <c r="D18" s="8">
        <f>SUM(D12:D17)</f>
        <v>49.404999999999994</v>
      </c>
      <c r="E18" s="8">
        <f>SUM(E12:E17)</f>
        <v>39.168499999999995</v>
      </c>
      <c r="F18" s="8">
        <f>SUM(F12:F17)</f>
        <v>175.26150000000001</v>
      </c>
      <c r="G18" s="8">
        <f>SUM(G12:G17)</f>
        <v>1360.4499999999998</v>
      </c>
      <c r="H18" s="22"/>
    </row>
    <row r="19" spans="1:8" ht="31.5" customHeight="1" thickBot="1" x14ac:dyDescent="0.3">
      <c r="A19" s="23" t="s">
        <v>28</v>
      </c>
      <c r="B19" s="24"/>
      <c r="C19" s="25">
        <f>C11+C18</f>
        <v>1515</v>
      </c>
      <c r="D19" s="25">
        <f>D11+D18</f>
        <v>88.614999999999981</v>
      </c>
      <c r="E19" s="25">
        <f>E11+E18</f>
        <v>119.15349999999999</v>
      </c>
      <c r="F19" s="25">
        <f>F11+F18</f>
        <v>366.90650000000005</v>
      </c>
      <c r="G19" s="25">
        <f>G11+G18</f>
        <v>2315.75</v>
      </c>
      <c r="H19" s="26"/>
    </row>
    <row r="20" spans="1:8" ht="15.75" x14ac:dyDescent="0.25">
      <c r="A20" s="1"/>
      <c r="B20" s="1"/>
      <c r="C20" s="1"/>
      <c r="D20" s="1"/>
      <c r="E20" s="1"/>
      <c r="F20" s="1"/>
      <c r="G20" s="1"/>
      <c r="H20" s="1"/>
    </row>
  </sheetData>
  <sheetProtection password="CC39" sheet="1" objects="1" scenarios="1"/>
  <mergeCells count="6">
    <mergeCell ref="C5:H5"/>
    <mergeCell ref="A6:A10"/>
    <mergeCell ref="A11:B11"/>
    <mergeCell ref="A12:A17"/>
    <mergeCell ref="A18:B18"/>
    <mergeCell ref="A19:B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showGridLines="0" workbookViewId="0">
      <selection activeCell="K19" sqref="K19"/>
    </sheetView>
  </sheetViews>
  <sheetFormatPr defaultRowHeight="15" x14ac:dyDescent="0.25"/>
  <cols>
    <col min="1" max="1" width="18.28515625" customWidth="1"/>
    <col min="2" max="2" width="32.710937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9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</row>
    <row r="4" spans="1:8" x14ac:dyDescent="0.25">
      <c r="A4" s="14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5">
        <v>8</v>
      </c>
    </row>
    <row r="5" spans="1:8" ht="31.5" customHeight="1" x14ac:dyDescent="0.25">
      <c r="A5" s="16" t="s">
        <v>70</v>
      </c>
      <c r="B5" s="12" t="s">
        <v>41</v>
      </c>
      <c r="C5" s="13"/>
      <c r="D5" s="13"/>
      <c r="E5" s="13"/>
      <c r="F5" s="13"/>
      <c r="G5" s="13"/>
      <c r="H5" s="17"/>
    </row>
    <row r="6" spans="1:8" ht="31.5" customHeight="1" x14ac:dyDescent="0.25">
      <c r="A6" s="18" t="s">
        <v>14</v>
      </c>
      <c r="B6" s="27" t="s">
        <v>44</v>
      </c>
      <c r="C6" s="4">
        <v>300</v>
      </c>
      <c r="D6" s="5">
        <f>$C6*18.99/100</f>
        <v>56.969999999999992</v>
      </c>
      <c r="E6" s="5">
        <f>$C6*7.18/100</f>
        <v>21.54</v>
      </c>
      <c r="F6" s="5">
        <f>$C6*30.8/100</f>
        <v>92.4</v>
      </c>
      <c r="G6" s="5">
        <f>$C6*267/100</f>
        <v>801</v>
      </c>
      <c r="H6" s="19" t="s">
        <v>45</v>
      </c>
    </row>
    <row r="7" spans="1:8" ht="31.5" customHeight="1" x14ac:dyDescent="0.25">
      <c r="A7" s="18"/>
      <c r="B7" s="6" t="s">
        <v>19</v>
      </c>
      <c r="C7" s="4">
        <v>40</v>
      </c>
      <c r="D7" s="5">
        <f>$C7*5.4/100</f>
        <v>2.16</v>
      </c>
      <c r="E7" s="5">
        <f>$C7*1/100</f>
        <v>0.4</v>
      </c>
      <c r="F7" s="5">
        <f>$C7*44.6/100</f>
        <v>17.84</v>
      </c>
      <c r="G7" s="5">
        <f>$C7*212/100</f>
        <v>84.8</v>
      </c>
      <c r="H7" s="19" t="s">
        <v>23</v>
      </c>
    </row>
    <row r="8" spans="1:8" ht="31.5" customHeight="1" x14ac:dyDescent="0.25">
      <c r="A8" s="18"/>
      <c r="B8" s="6" t="s">
        <v>18</v>
      </c>
      <c r="C8" s="4">
        <v>215</v>
      </c>
      <c r="D8" s="5">
        <f>$C8*0.2/100</f>
        <v>0.43</v>
      </c>
      <c r="E8" s="5">
        <f>$C8*0.05/100</f>
        <v>0.1075</v>
      </c>
      <c r="F8" s="5">
        <f>$C8*15.01/100</f>
        <v>32.271500000000003</v>
      </c>
      <c r="G8" s="5">
        <f>$C8*57/100</f>
        <v>122.55</v>
      </c>
      <c r="H8" s="19" t="s">
        <v>25</v>
      </c>
    </row>
    <row r="9" spans="1:8" ht="31.5" customHeight="1" x14ac:dyDescent="0.25">
      <c r="A9" s="20" t="s">
        <v>13</v>
      </c>
      <c r="B9" s="7"/>
      <c r="C9" s="8">
        <f>SUM(C6:C8)</f>
        <v>555</v>
      </c>
      <c r="D9" s="8">
        <f>SUM(D6:D8)</f>
        <v>59.559999999999995</v>
      </c>
      <c r="E9" s="8">
        <f>SUM(E6:E8)</f>
        <v>22.047499999999999</v>
      </c>
      <c r="F9" s="8">
        <f>SUM(F6:F8)</f>
        <v>142.51150000000001</v>
      </c>
      <c r="G9" s="8">
        <f>SUM(G6:G8)</f>
        <v>1008.3499999999999</v>
      </c>
      <c r="H9" s="21"/>
    </row>
    <row r="10" spans="1:8" ht="31.5" customHeight="1" x14ac:dyDescent="0.25">
      <c r="A10" s="18" t="s">
        <v>29</v>
      </c>
      <c r="B10" s="3" t="s">
        <v>43</v>
      </c>
      <c r="C10" s="4">
        <v>255</v>
      </c>
      <c r="D10" s="5">
        <f>$C10*2.06/100</f>
        <v>5.253000000000001</v>
      </c>
      <c r="E10" s="5">
        <f>$C10*5.27/100</f>
        <v>13.438499999999999</v>
      </c>
      <c r="F10" s="5">
        <f>$C10*13.01/100</f>
        <v>33.1755</v>
      </c>
      <c r="G10" s="5">
        <f>$C10*108/100</f>
        <v>275.39999999999998</v>
      </c>
      <c r="H10" s="19" t="s">
        <v>38</v>
      </c>
    </row>
    <row r="11" spans="1:8" ht="31.5" customHeight="1" x14ac:dyDescent="0.25">
      <c r="A11" s="18"/>
      <c r="B11" s="3" t="s">
        <v>71</v>
      </c>
      <c r="C11" s="4">
        <v>215</v>
      </c>
      <c r="D11" s="5">
        <f>$C11*6.07/100</f>
        <v>13.0505</v>
      </c>
      <c r="E11" s="5">
        <f>$C11*7.48/100</f>
        <v>16.082000000000001</v>
      </c>
      <c r="F11" s="5">
        <f>$C11*23.98/100</f>
        <v>51.556999999999995</v>
      </c>
      <c r="G11" s="5">
        <f>$C11*191/100</f>
        <v>410.65</v>
      </c>
      <c r="H11" s="19" t="s">
        <v>72</v>
      </c>
    </row>
    <row r="12" spans="1:8" ht="31.5" customHeight="1" x14ac:dyDescent="0.25">
      <c r="A12" s="18"/>
      <c r="B12" s="6" t="s">
        <v>20</v>
      </c>
      <c r="C12" s="4">
        <v>40</v>
      </c>
      <c r="D12" s="5">
        <f>$C12*7.5/100</f>
        <v>3</v>
      </c>
      <c r="E12" s="5">
        <f>$C12*2.9/100</f>
        <v>1.1599999999999999</v>
      </c>
      <c r="F12" s="5">
        <f>$C12*50.7/100</f>
        <v>20.28</v>
      </c>
      <c r="G12" s="5">
        <f>$C12*264/100</f>
        <v>105.6</v>
      </c>
      <c r="H12" s="19" t="s">
        <v>23</v>
      </c>
    </row>
    <row r="13" spans="1:8" ht="31.5" customHeight="1" x14ac:dyDescent="0.25">
      <c r="A13" s="18"/>
      <c r="B13" s="6" t="s">
        <v>18</v>
      </c>
      <c r="C13" s="4">
        <v>215</v>
      </c>
      <c r="D13" s="5">
        <f>$C13*0.2/100</f>
        <v>0.43</v>
      </c>
      <c r="E13" s="5">
        <f>$C13*0.05/100</f>
        <v>0.1075</v>
      </c>
      <c r="F13" s="5">
        <f>$C13*15.01/100</f>
        <v>32.271500000000003</v>
      </c>
      <c r="G13" s="5">
        <f>$C13*57/100</f>
        <v>122.55</v>
      </c>
      <c r="H13" s="19" t="s">
        <v>25</v>
      </c>
    </row>
    <row r="14" spans="1:8" ht="31.5" customHeight="1" x14ac:dyDescent="0.25">
      <c r="A14" s="18"/>
      <c r="B14" s="6" t="s">
        <v>19</v>
      </c>
      <c r="C14" s="4">
        <v>80</v>
      </c>
      <c r="D14" s="5">
        <f>$C14*5.4/100</f>
        <v>4.32</v>
      </c>
      <c r="E14" s="5">
        <f>$C14*1/100</f>
        <v>0.8</v>
      </c>
      <c r="F14" s="5">
        <f>$C14*44.6/100</f>
        <v>35.68</v>
      </c>
      <c r="G14" s="5">
        <f>$C14*212/100</f>
        <v>169.6</v>
      </c>
      <c r="H14" s="19" t="s">
        <v>23</v>
      </c>
    </row>
    <row r="15" spans="1:8" ht="31.5" customHeight="1" x14ac:dyDescent="0.25">
      <c r="A15" s="20" t="s">
        <v>27</v>
      </c>
      <c r="B15" s="7"/>
      <c r="C15" s="8">
        <f>SUM(C10:C14)</f>
        <v>805</v>
      </c>
      <c r="D15" s="8">
        <f>SUM(D10:D14)</f>
        <v>26.0535</v>
      </c>
      <c r="E15" s="8">
        <f>SUM(E10:E14)</f>
        <v>31.588000000000001</v>
      </c>
      <c r="F15" s="8">
        <f>SUM(F10:F14)</f>
        <v>172.964</v>
      </c>
      <c r="G15" s="8">
        <f>SUM(G10:G14)</f>
        <v>1083.8</v>
      </c>
      <c r="H15" s="22"/>
    </row>
    <row r="16" spans="1:8" ht="31.5" customHeight="1" thickBot="1" x14ac:dyDescent="0.3">
      <c r="A16" s="23" t="s">
        <v>28</v>
      </c>
      <c r="B16" s="24"/>
      <c r="C16" s="25">
        <f>C9+C15</f>
        <v>1360</v>
      </c>
      <c r="D16" s="25">
        <f>D9+D15</f>
        <v>85.613499999999988</v>
      </c>
      <c r="E16" s="25">
        <f>E9+E15</f>
        <v>53.6355</v>
      </c>
      <c r="F16" s="25">
        <f>F9+F15</f>
        <v>315.47550000000001</v>
      </c>
      <c r="G16" s="25">
        <f>G9+G15</f>
        <v>2092.1499999999996</v>
      </c>
      <c r="H16" s="26"/>
    </row>
    <row r="17" spans="1:8" ht="15.75" x14ac:dyDescent="0.25">
      <c r="A17" s="1"/>
      <c r="B17" s="1"/>
      <c r="C17" s="1"/>
      <c r="D17" s="1"/>
      <c r="E17" s="1"/>
      <c r="F17" s="1"/>
      <c r="G17" s="1"/>
      <c r="H17" s="1"/>
    </row>
  </sheetData>
  <sheetProtection password="CC39" sheet="1" objects="1" scenarios="1"/>
  <mergeCells count="6">
    <mergeCell ref="C5:H5"/>
    <mergeCell ref="A6:A8"/>
    <mergeCell ref="A9:B9"/>
    <mergeCell ref="A10:A14"/>
    <mergeCell ref="A15:B15"/>
    <mergeCell ref="A16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Титул</vt:lpstr>
      <vt:lpstr>Н1_Д1</vt:lpstr>
      <vt:lpstr>Н1_Д2</vt:lpstr>
      <vt:lpstr>Н1_Д3</vt:lpstr>
      <vt:lpstr>Н1_Д4</vt:lpstr>
      <vt:lpstr>Н1_Д5</vt:lpstr>
      <vt:lpstr>Н2_Д1</vt:lpstr>
      <vt:lpstr>Н2_Д2</vt:lpstr>
      <vt:lpstr>Н2_Д3</vt:lpstr>
      <vt:lpstr>Н2_Д4</vt:lpstr>
      <vt:lpstr>Н2_Д5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2022-10-07T16:13:45Z</dcterms:modified>
</cp:coreProperties>
</file>